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120" yWindow="90" windowWidth="15570" windowHeight="9015"/>
  </bookViews>
  <sheets>
    <sheet name="NEW PRICE LIST RAIL" sheetId="1" r:id="rId1"/>
    <sheet name="Sheet3" sheetId="4" r:id="rId2"/>
    <sheet name="Sheet1" sheetId="2" state="hidden" r:id="rId3"/>
    <sheet name="Sheet2" sheetId="3" state="hidden" r:id="rId4"/>
  </sheets>
  <definedNames>
    <definedName name="_xlnm._FilterDatabase" localSheetId="0" hidden="1">'NEW PRICE LIST RAIL'!$A$2:$AB$21</definedName>
    <definedName name="_xlnm.Print_Area" localSheetId="0">'NEW PRICE LIST RAIL'!$A$1:$AA$21</definedName>
    <definedName name="_xlnm.Print_Area" localSheetId="2">Sheet1!$A$1:$K$20</definedName>
  </definedNames>
  <calcPr calcId="124519"/>
</workbook>
</file>

<file path=xl/calcChain.xml><?xml version="1.0" encoding="utf-8"?>
<calcChain xmlns="http://schemas.openxmlformats.org/spreadsheetml/2006/main">
  <c r="M4" i="1"/>
  <c r="M5"/>
  <c r="J18"/>
  <c r="M3"/>
  <c r="H3"/>
  <c r="J3"/>
  <c r="E3"/>
  <c r="L3" l="1"/>
  <c r="K3"/>
  <c r="M16"/>
  <c r="M20"/>
  <c r="H20"/>
  <c r="J20"/>
  <c r="E20"/>
  <c r="M8"/>
  <c r="M6"/>
  <c r="H6"/>
  <c r="J6"/>
  <c r="E6"/>
  <c r="K20" l="1"/>
  <c r="U3"/>
  <c r="X3" s="1"/>
  <c r="L20"/>
  <c r="K6"/>
  <c r="L6"/>
  <c r="M10"/>
  <c r="M9"/>
  <c r="U20" l="1"/>
  <c r="W20" s="1"/>
  <c r="W3"/>
  <c r="Y3" s="1"/>
  <c r="Z3"/>
  <c r="AA3" s="1"/>
  <c r="X20"/>
  <c r="U6"/>
  <c r="W6" s="1"/>
  <c r="L18"/>
  <c r="K18"/>
  <c r="M18"/>
  <c r="M7"/>
  <c r="Q14"/>
  <c r="Q13"/>
  <c r="J21"/>
  <c r="H21"/>
  <c r="M21"/>
  <c r="E21"/>
  <c r="Z20" l="1"/>
  <c r="AA20" s="1"/>
  <c r="Y20"/>
  <c r="X6"/>
  <c r="Y6" s="1"/>
  <c r="Z6"/>
  <c r="AA6" s="1"/>
  <c r="K21"/>
  <c r="L21"/>
  <c r="U21" l="1"/>
  <c r="Z21" s="1"/>
  <c r="AA21" s="1"/>
  <c r="X21" l="1"/>
  <c r="W21"/>
  <c r="J5"/>
  <c r="J8"/>
  <c r="J10"/>
  <c r="J12"/>
  <c r="J15"/>
  <c r="J16"/>
  <c r="J17"/>
  <c r="J19"/>
  <c r="J4"/>
  <c r="H19"/>
  <c r="E19"/>
  <c r="O18"/>
  <c r="E13"/>
  <c r="F13" s="1"/>
  <c r="H13"/>
  <c r="E9"/>
  <c r="F9" s="1"/>
  <c r="H12"/>
  <c r="E12"/>
  <c r="E18"/>
  <c r="E17"/>
  <c r="E11"/>
  <c r="F11" s="1"/>
  <c r="E14"/>
  <c r="F14" s="1"/>
  <c r="E15"/>
  <c r="E16"/>
  <c r="E10"/>
  <c r="H14"/>
  <c r="E8"/>
  <c r="E4"/>
  <c r="E5"/>
  <c r="E7"/>
  <c r="F7" s="1"/>
  <c r="H17"/>
  <c r="H11"/>
  <c r="H4"/>
  <c r="H5"/>
  <c r="H7"/>
  <c r="H8"/>
  <c r="H10"/>
  <c r="H15"/>
  <c r="H16"/>
  <c r="H9"/>
  <c r="K10" i="2"/>
  <c r="K13"/>
  <c r="K7"/>
  <c r="Y21" i="1" l="1"/>
  <c r="K15"/>
  <c r="L12"/>
  <c r="K10"/>
  <c r="K4"/>
  <c r="J11"/>
  <c r="K11" s="1"/>
  <c r="J7"/>
  <c r="L7" s="1"/>
  <c r="K19"/>
  <c r="J9"/>
  <c r="L9" s="1"/>
  <c r="L5"/>
  <c r="L8"/>
  <c r="K16"/>
  <c r="L19"/>
  <c r="U18"/>
  <c r="Z18" s="1"/>
  <c r="K5"/>
  <c r="L16"/>
  <c r="K8"/>
  <c r="L15"/>
  <c r="L10"/>
  <c r="L4"/>
  <c r="L17"/>
  <c r="K17"/>
  <c r="J13"/>
  <c r="J14"/>
  <c r="K12"/>
  <c r="U10" l="1"/>
  <c r="X10" s="1"/>
  <c r="U19"/>
  <c r="W19" s="1"/>
  <c r="K7"/>
  <c r="U7" s="1"/>
  <c r="X7" s="1"/>
  <c r="L11"/>
  <c r="U11" s="1"/>
  <c r="X11" s="1"/>
  <c r="U4"/>
  <c r="W4" s="1"/>
  <c r="U12"/>
  <c r="W12" s="1"/>
  <c r="U8"/>
  <c r="Z8" s="1"/>
  <c r="AA8" s="1"/>
  <c r="K6" i="2" s="1"/>
  <c r="U5" i="1"/>
  <c r="W5" s="1"/>
  <c r="K9"/>
  <c r="U9" s="1"/>
  <c r="X9" s="1"/>
  <c r="U16"/>
  <c r="X16" s="1"/>
  <c r="U17"/>
  <c r="W17" s="1"/>
  <c r="K18" i="2"/>
  <c r="X18" i="1"/>
  <c r="W18"/>
  <c r="AA18"/>
  <c r="K20" i="2" s="1"/>
  <c r="U15" i="1"/>
  <c r="X15" s="1"/>
  <c r="K14"/>
  <c r="L14"/>
  <c r="K13"/>
  <c r="L13"/>
  <c r="X19" l="1"/>
  <c r="Y19" s="1"/>
  <c r="Z19"/>
  <c r="AA19" s="1"/>
  <c r="Z10"/>
  <c r="AA10" s="1"/>
  <c r="K9" i="2" s="1"/>
  <c r="Z5" i="1"/>
  <c r="AA5" s="1"/>
  <c r="K4" i="2" s="1"/>
  <c r="W10" i="1"/>
  <c r="Y10" s="1"/>
  <c r="Z4"/>
  <c r="AA4" s="1"/>
  <c r="K3" i="2" s="1"/>
  <c r="X12" i="1"/>
  <c r="Y12" s="1"/>
  <c r="X4"/>
  <c r="Y4" s="1"/>
  <c r="Z12"/>
  <c r="AA12" s="1"/>
  <c r="K12" i="2" s="1"/>
  <c r="X8" i="1"/>
  <c r="W8"/>
  <c r="X5"/>
  <c r="Y5" s="1"/>
  <c r="Z7"/>
  <c r="AA7" s="1"/>
  <c r="K5" i="2" s="1"/>
  <c r="Z9" i="1"/>
  <c r="AA9" s="1"/>
  <c r="K8" i="2" s="1"/>
  <c r="W9" i="1"/>
  <c r="Y9" s="1"/>
  <c r="W11"/>
  <c r="Y11" s="1"/>
  <c r="Z11"/>
  <c r="AA11" s="1"/>
  <c r="K11" i="2" s="1"/>
  <c r="W16" i="1"/>
  <c r="Y16" s="1"/>
  <c r="Z16"/>
  <c r="AA16" s="1"/>
  <c r="K17" i="2" s="1"/>
  <c r="X17" i="1"/>
  <c r="Y17" s="1"/>
  <c r="Z17"/>
  <c r="AA17" s="1"/>
  <c r="K19" i="2" s="1"/>
  <c r="W7" i="1"/>
  <c r="Y7" s="1"/>
  <c r="W15"/>
  <c r="Y15" s="1"/>
  <c r="Z15"/>
  <c r="AA15" s="1"/>
  <c r="K16" i="2" s="1"/>
  <c r="U13" i="1"/>
  <c r="Z13" s="1"/>
  <c r="AA13" s="1"/>
  <c r="K14" i="2" s="1"/>
  <c r="Y18" i="1"/>
  <c r="U14"/>
  <c r="Z14" s="1"/>
  <c r="AA14" s="1"/>
  <c r="K15" i="2" s="1"/>
  <c r="Y8" i="1" l="1"/>
  <c r="W13"/>
  <c r="X14"/>
  <c r="W14"/>
  <c r="X13"/>
  <c r="Y14" l="1"/>
  <c r="Y13"/>
</calcChain>
</file>

<file path=xl/sharedStrings.xml><?xml version="1.0" encoding="utf-8"?>
<sst xmlns="http://schemas.openxmlformats.org/spreadsheetml/2006/main" count="130" uniqueCount="69">
  <si>
    <t>CHP</t>
  </si>
  <si>
    <t>SED</t>
  </si>
  <si>
    <t>FSC</t>
  </si>
  <si>
    <t>RCHP</t>
  </si>
  <si>
    <t>YLD CHP</t>
  </si>
  <si>
    <t>KCHP Iv Line</t>
  </si>
  <si>
    <t>GDK I CSP</t>
  </si>
  <si>
    <t>GDK OC 3 CHP</t>
  </si>
  <si>
    <t>RKP CSP</t>
  </si>
  <si>
    <t>SRP CSP</t>
  </si>
  <si>
    <t>TAXABLAE AMOUNT</t>
  </si>
  <si>
    <t>FOREST PERMIT 
CHARGES</t>
  </si>
  <si>
    <t>G7 CRR</t>
  </si>
  <si>
    <t>G9 CRR</t>
  </si>
  <si>
    <t>G11 CRR</t>
  </si>
  <si>
    <t>G13 CRR</t>
  </si>
  <si>
    <t>G15 CRR</t>
  </si>
  <si>
    <t>WG- G9</t>
  </si>
  <si>
    <t>BASIC TOTAL</t>
  </si>
  <si>
    <t>ENGINE
SHNTG CHGS+ ADDL.CR</t>
  </si>
  <si>
    <t>YLD CHP*</t>
  </si>
  <si>
    <t>ROYALTY</t>
  </si>
  <si>
    <t>GCV GR</t>
  </si>
  <si>
    <t>UHV GR</t>
  </si>
  <si>
    <t>C-CRR</t>
  </si>
  <si>
    <t>F-CRR</t>
  </si>
  <si>
    <t>G-CRR</t>
  </si>
  <si>
    <t>E-CRR</t>
  </si>
  <si>
    <t>D-CRR</t>
  </si>
  <si>
    <t>WG-D</t>
  </si>
  <si>
    <t>BASE PRICE</t>
  </si>
  <si>
    <t>SIZING CH.</t>
  </si>
  <si>
    <t>REBBENNA SDG</t>
  </si>
  <si>
    <t>2% on Royalty</t>
  </si>
  <si>
    <t>30% on Royalty towards DMTF</t>
  </si>
  <si>
    <t xml:space="preserve">ROYALTY
ON PREM </t>
  </si>
  <si>
    <t>G8 CRR</t>
  </si>
  <si>
    <t>G10 CRR</t>
  </si>
  <si>
    <t>KCHP IV Line</t>
  </si>
  <si>
    <t>RKP                      (CCC SDG)</t>
  </si>
  <si>
    <t>MNG SDG</t>
  </si>
  <si>
    <t>G5-CRR</t>
  </si>
  <si>
    <t>B-CRR</t>
  </si>
  <si>
    <t>Addl. NFSA charges (5%)</t>
  </si>
  <si>
    <t>KCHP BLENDING COAL</t>
  </si>
  <si>
    <t xml:space="preserve">    STC/ Adl. STC</t>
  </si>
  <si>
    <t>CGST 2.5%</t>
  </si>
  <si>
    <t>TOTAL 
PRICE WITH GST 5%</t>
  </si>
  <si>
    <t>SGST 2.5%</t>
  </si>
  <si>
    <t>IGST 5%</t>
  </si>
  <si>
    <t>TOTAL PRICE
 WITH IGST 5%</t>
  </si>
  <si>
    <t>GST COMPENSATION CESS</t>
  </si>
  <si>
    <t>G17-CRR</t>
  </si>
  <si>
    <t>RAIL NOTIFIED PRICES FOR NON-POWER (NFSA CUSTOMERS)  W.E.F 01.11.2017 (RS/T)</t>
  </si>
  <si>
    <t>Mark up price/ Compensatory yielding charge</t>
  </si>
  <si>
    <t>YLD TADIKALAPUDI SDG</t>
  </si>
  <si>
    <t>LAND ADJUSTMENT</t>
  </si>
  <si>
    <t>Corpus  of CMPS 1998 (Pension Fund)</t>
  </si>
  <si>
    <t>PWB +LIFTING CH./ Addl. Facility charges</t>
  </si>
  <si>
    <t xml:space="preserve">JVR CHP </t>
  </si>
  <si>
    <t>G15-CRR</t>
  </si>
  <si>
    <t>Explosive Cost Adjustment</t>
  </si>
  <si>
    <t>G11-CRR</t>
  </si>
  <si>
    <t>G13-CRR</t>
  </si>
  <si>
    <t>G7-CRR</t>
  </si>
  <si>
    <t>G8-CRR</t>
  </si>
  <si>
    <t>G9-CRR</t>
  </si>
  <si>
    <t>G6-CRR</t>
  </si>
  <si>
    <t>RAIL NOTIFIED PRICES FOR NON-POWER (NFSA CUSTOMERS)  AS ON 01.04.2025 (RS/T)</t>
  </si>
</sst>
</file>

<file path=xl/styles.xml><?xml version="1.0" encoding="utf-8"?>
<styleSheet xmlns="http://schemas.openxmlformats.org/spreadsheetml/2006/main">
  <fonts count="8">
    <font>
      <sz val="10"/>
      <name val="Arial"/>
    </font>
    <font>
      <sz val="8"/>
      <name val="Arial"/>
      <family val="2"/>
    </font>
    <font>
      <b/>
      <sz val="20"/>
      <name val="Arial"/>
      <family val="2"/>
    </font>
    <font>
      <sz val="2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3" fillId="0" borderId="0" xfId="0" applyFont="1"/>
    <xf numFmtId="0" fontId="3" fillId="0" borderId="1" xfId="0" applyFont="1" applyBorder="1"/>
    <xf numFmtId="0" fontId="2" fillId="0" borderId="1" xfId="0" applyFont="1" applyBorder="1" applyAlignment="1">
      <alignment vertical="center" wrapText="1"/>
    </xf>
    <xf numFmtId="4" fontId="3" fillId="0" borderId="1" xfId="0" applyNumberFormat="1" applyFont="1" applyBorder="1"/>
    <xf numFmtId="2" fontId="3" fillId="0" borderId="1" xfId="0" applyNumberFormat="1" applyFont="1" applyBorder="1"/>
    <xf numFmtId="4" fontId="2" fillId="0" borderId="1" xfId="0" applyNumberFormat="1" applyFont="1" applyBorder="1"/>
    <xf numFmtId="2" fontId="3" fillId="0" borderId="0" xfId="0" applyNumberFormat="1" applyFont="1"/>
    <xf numFmtId="0" fontId="2" fillId="0" borderId="1" xfId="0" applyFont="1" applyBorder="1"/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6" fillId="0" borderId="0" xfId="0" applyFont="1"/>
    <xf numFmtId="0" fontId="5" fillId="0" borderId="1" xfId="0" applyFont="1" applyBorder="1"/>
    <xf numFmtId="4" fontId="6" fillId="0" borderId="0" xfId="0" applyNumberFormat="1" applyFont="1"/>
    <xf numFmtId="0" fontId="2" fillId="0" borderId="2" xfId="0" applyFont="1" applyBorder="1" applyAlignment="1"/>
    <xf numFmtId="0" fontId="2" fillId="0" borderId="3" xfId="0" applyFont="1" applyBorder="1" applyAlignment="1"/>
    <xf numFmtId="2" fontId="6" fillId="0" borderId="1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5" fillId="0" borderId="5" xfId="0" applyFont="1" applyBorder="1" applyAlignment="1">
      <alignment horizontal="center" vertical="center" wrapText="1"/>
    </xf>
    <xf numFmtId="2" fontId="5" fillId="0" borderId="5" xfId="0" applyNumberFormat="1" applyFont="1" applyBorder="1" applyAlignment="1">
      <alignment horizontal="center"/>
    </xf>
    <xf numFmtId="0" fontId="5" fillId="0" borderId="6" xfId="0" applyFont="1" applyBorder="1"/>
    <xf numFmtId="2" fontId="6" fillId="0" borderId="6" xfId="0" applyNumberFormat="1" applyFont="1" applyBorder="1" applyAlignment="1">
      <alignment horizontal="center"/>
    </xf>
    <xf numFmtId="4" fontId="6" fillId="0" borderId="1" xfId="0" applyNumberFormat="1" applyFont="1" applyBorder="1"/>
    <xf numFmtId="0" fontId="6" fillId="0" borderId="1" xfId="0" applyFont="1" applyBorder="1"/>
    <xf numFmtId="2" fontId="6" fillId="0" borderId="1" xfId="0" applyNumberFormat="1" applyFont="1" applyBorder="1"/>
    <xf numFmtId="0" fontId="4" fillId="0" borderId="1" xfId="0" applyFont="1" applyBorder="1" applyAlignment="1">
      <alignment vertical="center" wrapText="1"/>
    </xf>
    <xf numFmtId="2" fontId="4" fillId="0" borderId="1" xfId="0" applyNumberFormat="1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2" fillId="3" borderId="1" xfId="0" applyFont="1" applyFill="1" applyBorder="1" applyAlignment="1">
      <alignment vertical="center" wrapText="1"/>
    </xf>
    <xf numFmtId="4" fontId="3" fillId="3" borderId="1" xfId="0" applyNumberFormat="1" applyFont="1" applyFill="1" applyBorder="1"/>
    <xf numFmtId="2" fontId="3" fillId="3" borderId="1" xfId="0" applyNumberFormat="1" applyFont="1" applyFill="1" applyBorder="1"/>
    <xf numFmtId="0" fontId="3" fillId="3" borderId="1" xfId="0" applyFont="1" applyFill="1" applyBorder="1"/>
    <xf numFmtId="4" fontId="2" fillId="3" borderId="1" xfId="0" applyNumberFormat="1" applyFont="1" applyFill="1" applyBorder="1"/>
    <xf numFmtId="0" fontId="3" fillId="3" borderId="0" xfId="0" applyFont="1" applyFill="1"/>
    <xf numFmtId="1" fontId="3" fillId="0" borderId="1" xfId="0" applyNumberFormat="1" applyFont="1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A21"/>
  <sheetViews>
    <sheetView tabSelected="1" zoomScale="55" zoomScaleNormal="55" workbookViewId="0">
      <selection activeCell="A9" sqref="A9:XFD9"/>
    </sheetView>
  </sheetViews>
  <sheetFormatPr defaultColWidth="15.42578125" defaultRowHeight="50.1" customHeight="1"/>
  <cols>
    <col min="1" max="1" width="30.28515625" style="1" customWidth="1"/>
    <col min="2" max="2" width="24.140625" style="1" customWidth="1"/>
    <col min="3" max="5" width="20.85546875" style="1" customWidth="1"/>
    <col min="6" max="6" width="17.28515625" style="1" customWidth="1"/>
    <col min="7" max="7" width="1.85546875" style="1" customWidth="1"/>
    <col min="8" max="8" width="17.28515625" style="1" customWidth="1"/>
    <col min="9" max="9" width="8.5703125" style="7" customWidth="1"/>
    <col min="10" max="10" width="16.42578125" style="1" customWidth="1"/>
    <col min="11" max="11" width="14" style="1" customWidth="1"/>
    <col min="12" max="12" width="16.42578125" style="1" bestFit="1" customWidth="1"/>
    <col min="13" max="13" width="14" style="1" customWidth="1"/>
    <col min="14" max="14" width="15.42578125" style="1" customWidth="1"/>
    <col min="15" max="15" width="13.7109375" style="1" customWidth="1"/>
    <col min="16" max="16" width="12.140625" style="1" customWidth="1"/>
    <col min="17" max="19" width="15.42578125" style="1" customWidth="1"/>
    <col min="20" max="20" width="19.140625" style="1" customWidth="1"/>
    <col min="21" max="26" width="18.5703125" style="1" customWidth="1"/>
    <col min="27" max="27" width="22.28515625" style="1" customWidth="1"/>
    <col min="28" max="28" width="22.140625" style="1" customWidth="1"/>
    <col min="29" max="16384" width="15.42578125" style="1"/>
  </cols>
  <sheetData>
    <row r="1" spans="1:27" ht="50.1" customHeight="1">
      <c r="A1" s="38" t="s">
        <v>68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9"/>
    </row>
    <row r="2" spans="1:27" s="29" customFormat="1" ht="140.25" customHeight="1">
      <c r="A2" s="27" t="s">
        <v>0</v>
      </c>
      <c r="B2" s="27" t="s">
        <v>22</v>
      </c>
      <c r="C2" s="27" t="s">
        <v>30</v>
      </c>
      <c r="D2" s="27" t="s">
        <v>31</v>
      </c>
      <c r="E2" s="27" t="s">
        <v>18</v>
      </c>
      <c r="F2" s="27" t="s">
        <v>54</v>
      </c>
      <c r="G2" s="9" t="s">
        <v>43</v>
      </c>
      <c r="H2" s="28" t="s">
        <v>21</v>
      </c>
      <c r="I2" s="27" t="s">
        <v>1</v>
      </c>
      <c r="J2" s="27" t="s">
        <v>35</v>
      </c>
      <c r="K2" s="27" t="s">
        <v>33</v>
      </c>
      <c r="L2" s="27" t="s">
        <v>34</v>
      </c>
      <c r="M2" s="27" t="s">
        <v>19</v>
      </c>
      <c r="N2" s="27" t="s">
        <v>56</v>
      </c>
      <c r="O2" s="27" t="s">
        <v>45</v>
      </c>
      <c r="P2" s="27" t="s">
        <v>11</v>
      </c>
      <c r="Q2" s="27" t="s">
        <v>58</v>
      </c>
      <c r="R2" s="27" t="s">
        <v>2</v>
      </c>
      <c r="S2" s="27" t="s">
        <v>61</v>
      </c>
      <c r="T2" s="9" t="s">
        <v>57</v>
      </c>
      <c r="U2" s="27" t="s">
        <v>10</v>
      </c>
      <c r="V2" s="27" t="s">
        <v>51</v>
      </c>
      <c r="W2" s="27" t="s">
        <v>46</v>
      </c>
      <c r="X2" s="27" t="s">
        <v>48</v>
      </c>
      <c r="Y2" s="27" t="s">
        <v>47</v>
      </c>
      <c r="Z2" s="27" t="s">
        <v>49</v>
      </c>
      <c r="AA2" s="27" t="s">
        <v>50</v>
      </c>
    </row>
    <row r="3" spans="1:27" ht="36" customHeight="1">
      <c r="A3" s="3" t="s">
        <v>3</v>
      </c>
      <c r="B3" s="4" t="s">
        <v>67</v>
      </c>
      <c r="C3" s="4">
        <v>5530</v>
      </c>
      <c r="D3" s="4">
        <v>80</v>
      </c>
      <c r="E3" s="4">
        <f t="shared" ref="E3" si="0">C3+D3</f>
        <v>5610</v>
      </c>
      <c r="F3" s="2">
        <v>0</v>
      </c>
      <c r="G3" s="5">
        <v>0</v>
      </c>
      <c r="H3" s="5">
        <f>C3*0.14</f>
        <v>774.2</v>
      </c>
      <c r="I3" s="2">
        <v>0</v>
      </c>
      <c r="J3" s="5">
        <f>(F3+G3)*0.14</f>
        <v>0</v>
      </c>
      <c r="K3" s="5">
        <f>(H3+J3)*2%</f>
        <v>15.484000000000002</v>
      </c>
      <c r="L3" s="5">
        <f>(H3+J3)*30%</f>
        <v>232.26</v>
      </c>
      <c r="M3" s="2">
        <f t="shared" ref="M3:M8" si="1">50+17</f>
        <v>67</v>
      </c>
      <c r="N3" s="2">
        <v>61</v>
      </c>
      <c r="O3" s="2">
        <v>83</v>
      </c>
      <c r="P3" s="2">
        <v>10</v>
      </c>
      <c r="Q3" s="2">
        <v>60</v>
      </c>
      <c r="R3" s="2">
        <v>686</v>
      </c>
      <c r="S3" s="5">
        <v>146.4</v>
      </c>
      <c r="T3" s="2">
        <v>20</v>
      </c>
      <c r="U3" s="4">
        <f t="shared" ref="U3" si="2">SUM(E3:T3)</f>
        <v>7765.3440000000001</v>
      </c>
      <c r="V3" s="2">
        <v>400</v>
      </c>
      <c r="W3" s="5">
        <f>U3*2.5%</f>
        <v>194.1336</v>
      </c>
      <c r="X3" s="5">
        <f>U3*2.5%</f>
        <v>194.1336</v>
      </c>
      <c r="Y3" s="6">
        <f>SUM(U3:X3)</f>
        <v>8553.6111999999994</v>
      </c>
      <c r="Z3" s="5">
        <f>U3*5%</f>
        <v>388.2672</v>
      </c>
      <c r="AA3" s="6">
        <f>U3+V3+Z3</f>
        <v>8553.6111999999994</v>
      </c>
    </row>
    <row r="4" spans="1:27" ht="36" customHeight="1">
      <c r="A4" s="3" t="s">
        <v>3</v>
      </c>
      <c r="B4" s="4" t="s">
        <v>64</v>
      </c>
      <c r="C4" s="4">
        <v>5130</v>
      </c>
      <c r="D4" s="4">
        <v>80</v>
      </c>
      <c r="E4" s="4">
        <f>C4+D4</f>
        <v>5210</v>
      </c>
      <c r="F4" s="2">
        <v>0</v>
      </c>
      <c r="G4" s="5">
        <v>0</v>
      </c>
      <c r="H4" s="5">
        <f>C4*0.14</f>
        <v>718.2</v>
      </c>
      <c r="I4" s="2">
        <v>0</v>
      </c>
      <c r="J4" s="5">
        <f>(F4+G4)*0.14</f>
        <v>0</v>
      </c>
      <c r="K4" s="5">
        <f>(H4+J4)*2%</f>
        <v>14.364000000000001</v>
      </c>
      <c r="L4" s="5">
        <f>(H4+J4)*30%</f>
        <v>215.46</v>
      </c>
      <c r="M4" s="2">
        <f>50</f>
        <v>50</v>
      </c>
      <c r="N4" s="2">
        <v>61</v>
      </c>
      <c r="O4" s="2">
        <v>83</v>
      </c>
      <c r="P4" s="2">
        <v>10</v>
      </c>
      <c r="Q4" s="2">
        <v>60</v>
      </c>
      <c r="R4" s="2">
        <v>686</v>
      </c>
      <c r="S4" s="5">
        <v>146.4</v>
      </c>
      <c r="T4" s="2">
        <v>20</v>
      </c>
      <c r="U4" s="4">
        <f>SUM(E4:T4)</f>
        <v>7274.4239999999991</v>
      </c>
      <c r="V4" s="2">
        <v>400</v>
      </c>
      <c r="W4" s="5">
        <f>U4*2.5%</f>
        <v>181.86059999999998</v>
      </c>
      <c r="X4" s="5">
        <f>U4*2.5%</f>
        <v>181.86059999999998</v>
      </c>
      <c r="Y4" s="6">
        <f>SUM(U4:X4)</f>
        <v>8038.145199999999</v>
      </c>
      <c r="Z4" s="5">
        <f>U4*5%</f>
        <v>363.72119999999995</v>
      </c>
      <c r="AA4" s="6">
        <f>U4+V4+Z4</f>
        <v>8038.145199999999</v>
      </c>
    </row>
    <row r="5" spans="1:27" ht="41.25" customHeight="1">
      <c r="A5" s="3" t="s">
        <v>3</v>
      </c>
      <c r="B5" s="2" t="s">
        <v>63</v>
      </c>
      <c r="C5" s="4">
        <v>2760</v>
      </c>
      <c r="D5" s="4">
        <v>80</v>
      </c>
      <c r="E5" s="4">
        <f t="shared" ref="E5:E10" si="3">C5+D5</f>
        <v>2840</v>
      </c>
      <c r="F5" s="2">
        <v>0</v>
      </c>
      <c r="G5" s="5">
        <v>0</v>
      </c>
      <c r="H5" s="5">
        <f t="shared" ref="H5:H16" si="4">C5*0.14</f>
        <v>386.40000000000003</v>
      </c>
      <c r="I5" s="2">
        <v>0</v>
      </c>
      <c r="J5" s="5">
        <f t="shared" ref="J5:J21" si="5">(F5+G5)*0.14</f>
        <v>0</v>
      </c>
      <c r="K5" s="5">
        <f t="shared" ref="K5:K18" si="6">(H5+J5)*2%</f>
        <v>7.7280000000000006</v>
      </c>
      <c r="L5" s="5">
        <f t="shared" ref="L5:L18" si="7">(H5+J5)*30%</f>
        <v>115.92</v>
      </c>
      <c r="M5" s="2">
        <f t="shared" si="1"/>
        <v>67</v>
      </c>
      <c r="N5" s="2">
        <v>61</v>
      </c>
      <c r="O5" s="2">
        <v>83</v>
      </c>
      <c r="P5" s="2">
        <v>10</v>
      </c>
      <c r="Q5" s="2">
        <v>60</v>
      </c>
      <c r="R5" s="2">
        <v>686</v>
      </c>
      <c r="S5" s="5">
        <v>146.4</v>
      </c>
      <c r="T5" s="2">
        <v>20</v>
      </c>
      <c r="U5" s="4">
        <f t="shared" ref="U5:U21" si="8">SUM(E5:T5)</f>
        <v>4483.4480000000003</v>
      </c>
      <c r="V5" s="2">
        <v>400</v>
      </c>
      <c r="W5" s="5">
        <f t="shared" ref="W5:W18" si="9">U5*2.5%</f>
        <v>112.08620000000002</v>
      </c>
      <c r="X5" s="5">
        <f t="shared" ref="X5:X18" si="10">U5*2.5%</f>
        <v>112.08620000000002</v>
      </c>
      <c r="Y5" s="6">
        <f t="shared" ref="Y5:Y18" si="11">SUM(U5:X5)</f>
        <v>5107.6203999999998</v>
      </c>
      <c r="Z5" s="5">
        <f t="shared" ref="Z5:Z18" si="12">U5*5%</f>
        <v>224.17240000000004</v>
      </c>
      <c r="AA5" s="6">
        <f t="shared" ref="AA5:AA18" si="13">U5+V5+Z5</f>
        <v>5107.6204000000007</v>
      </c>
    </row>
    <row r="6" spans="1:27" ht="36" customHeight="1">
      <c r="A6" s="3" t="s">
        <v>3</v>
      </c>
      <c r="B6" s="2" t="s">
        <v>62</v>
      </c>
      <c r="C6" s="4">
        <v>3540</v>
      </c>
      <c r="D6" s="4">
        <v>80</v>
      </c>
      <c r="E6" s="4">
        <f t="shared" ref="E6" si="14">C6+D6</f>
        <v>3620</v>
      </c>
      <c r="F6" s="2">
        <v>0</v>
      </c>
      <c r="G6" s="5">
        <v>0</v>
      </c>
      <c r="H6" s="5">
        <f t="shared" ref="H6" si="15">C6*0.14</f>
        <v>495.6</v>
      </c>
      <c r="I6" s="2">
        <v>0</v>
      </c>
      <c r="J6" s="5">
        <f t="shared" ref="J6" si="16">(F6+G6)*0.14</f>
        <v>0</v>
      </c>
      <c r="K6" s="5">
        <f t="shared" ref="K6" si="17">(H6+J6)*2%</f>
        <v>9.9120000000000008</v>
      </c>
      <c r="L6" s="5">
        <f t="shared" ref="L6" si="18">(H6+J6)*30%</f>
        <v>148.68</v>
      </c>
      <c r="M6" s="2">
        <f t="shared" si="1"/>
        <v>67</v>
      </c>
      <c r="N6" s="2">
        <v>61</v>
      </c>
      <c r="O6" s="2">
        <v>83</v>
      </c>
      <c r="P6" s="2">
        <v>10</v>
      </c>
      <c r="Q6" s="2">
        <v>60</v>
      </c>
      <c r="R6" s="2">
        <v>686</v>
      </c>
      <c r="S6" s="5">
        <v>146.4</v>
      </c>
      <c r="T6" s="2">
        <v>20</v>
      </c>
      <c r="U6" s="4">
        <f t="shared" ref="U6" si="19">SUM(E6:T6)</f>
        <v>5407.5920000000006</v>
      </c>
      <c r="V6" s="2">
        <v>400</v>
      </c>
      <c r="W6" s="5">
        <f t="shared" ref="W6" si="20">U6*2.5%</f>
        <v>135.18980000000002</v>
      </c>
      <c r="X6" s="5">
        <f t="shared" ref="X6" si="21">U6*2.5%</f>
        <v>135.18980000000002</v>
      </c>
      <c r="Y6" s="6">
        <f t="shared" ref="Y6" si="22">SUM(U6:X6)</f>
        <v>6077.9716000000008</v>
      </c>
      <c r="Z6" s="5">
        <f t="shared" ref="Z6" si="23">U6*5%</f>
        <v>270.37960000000004</v>
      </c>
      <c r="AA6" s="6">
        <f t="shared" ref="AA6" si="24">U6+V6+Z6</f>
        <v>6077.9716000000008</v>
      </c>
    </row>
    <row r="7" spans="1:27" ht="26.25">
      <c r="A7" s="3" t="s">
        <v>4</v>
      </c>
      <c r="B7" s="2" t="s">
        <v>63</v>
      </c>
      <c r="C7" s="4">
        <v>2760</v>
      </c>
      <c r="D7" s="4">
        <v>80</v>
      </c>
      <c r="E7" s="4">
        <f t="shared" si="3"/>
        <v>2840</v>
      </c>
      <c r="F7" s="5">
        <f>E7*20.19%</f>
        <v>573.39600000000007</v>
      </c>
      <c r="G7" s="5">
        <v>0</v>
      </c>
      <c r="H7" s="5">
        <f t="shared" si="4"/>
        <v>386.40000000000003</v>
      </c>
      <c r="I7" s="2">
        <v>0</v>
      </c>
      <c r="J7" s="5">
        <f t="shared" si="5"/>
        <v>80.275440000000017</v>
      </c>
      <c r="K7" s="5">
        <f t="shared" si="6"/>
        <v>9.3335088000000006</v>
      </c>
      <c r="L7" s="5">
        <f t="shared" si="7"/>
        <v>140.00263200000001</v>
      </c>
      <c r="M7" s="2">
        <f t="shared" si="1"/>
        <v>67</v>
      </c>
      <c r="N7" s="2">
        <v>61</v>
      </c>
      <c r="O7" s="2">
        <v>230</v>
      </c>
      <c r="P7" s="2">
        <v>10</v>
      </c>
      <c r="Q7" s="2">
        <v>170</v>
      </c>
      <c r="R7" s="2">
        <v>686</v>
      </c>
      <c r="S7" s="5">
        <v>146.4</v>
      </c>
      <c r="T7" s="2">
        <v>20</v>
      </c>
      <c r="U7" s="4">
        <f t="shared" si="8"/>
        <v>5419.8075807999994</v>
      </c>
      <c r="V7" s="2">
        <v>400</v>
      </c>
      <c r="W7" s="5">
        <f t="shared" si="9"/>
        <v>135.49518952</v>
      </c>
      <c r="X7" s="5">
        <f t="shared" si="10"/>
        <v>135.49518952</v>
      </c>
      <c r="Y7" s="6">
        <f t="shared" si="11"/>
        <v>6090.7979598399997</v>
      </c>
      <c r="Z7" s="5">
        <f t="shared" si="12"/>
        <v>270.99037903999999</v>
      </c>
      <c r="AA7" s="6">
        <f t="shared" si="13"/>
        <v>6090.7979598399997</v>
      </c>
    </row>
    <row r="8" spans="1:27" ht="26.25">
      <c r="A8" s="3" t="s">
        <v>20</v>
      </c>
      <c r="B8" s="2" t="s">
        <v>60</v>
      </c>
      <c r="C8" s="4">
        <v>2020</v>
      </c>
      <c r="D8" s="4">
        <v>80</v>
      </c>
      <c r="E8" s="4">
        <f t="shared" si="3"/>
        <v>2100</v>
      </c>
      <c r="F8" s="2">
        <v>0</v>
      </c>
      <c r="G8" s="5">
        <v>0</v>
      </c>
      <c r="H8" s="5">
        <f t="shared" si="4"/>
        <v>282.8</v>
      </c>
      <c r="I8" s="2">
        <v>0</v>
      </c>
      <c r="J8" s="5">
        <f t="shared" si="5"/>
        <v>0</v>
      </c>
      <c r="K8" s="5">
        <f t="shared" si="6"/>
        <v>5.6560000000000006</v>
      </c>
      <c r="L8" s="5">
        <f t="shared" si="7"/>
        <v>84.84</v>
      </c>
      <c r="M8" s="2">
        <f t="shared" si="1"/>
        <v>67</v>
      </c>
      <c r="N8" s="2">
        <v>61</v>
      </c>
      <c r="O8" s="2">
        <v>60</v>
      </c>
      <c r="P8" s="2">
        <v>10</v>
      </c>
      <c r="Q8" s="2">
        <v>170</v>
      </c>
      <c r="R8" s="2">
        <v>686</v>
      </c>
      <c r="S8" s="5">
        <v>146.4</v>
      </c>
      <c r="T8" s="2">
        <v>20</v>
      </c>
      <c r="U8" s="4">
        <f t="shared" si="8"/>
        <v>3693.6960000000004</v>
      </c>
      <c r="V8" s="2">
        <v>400</v>
      </c>
      <c r="W8" s="5">
        <f t="shared" si="9"/>
        <v>92.342400000000012</v>
      </c>
      <c r="X8" s="5">
        <f t="shared" si="10"/>
        <v>92.342400000000012</v>
      </c>
      <c r="Y8" s="6">
        <f t="shared" si="11"/>
        <v>4278.3808000000008</v>
      </c>
      <c r="Z8" s="5">
        <f t="shared" si="12"/>
        <v>184.68480000000002</v>
      </c>
      <c r="AA8" s="6">
        <f t="shared" si="13"/>
        <v>4278.3808000000008</v>
      </c>
    </row>
    <row r="9" spans="1:27" ht="26.25">
      <c r="A9" s="3" t="s">
        <v>38</v>
      </c>
      <c r="B9" s="4" t="s">
        <v>64</v>
      </c>
      <c r="C9" s="4">
        <v>5130</v>
      </c>
      <c r="D9" s="4">
        <v>80</v>
      </c>
      <c r="E9" s="4">
        <f t="shared" si="3"/>
        <v>5210</v>
      </c>
      <c r="F9" s="2">
        <f>E9*21.41%</f>
        <v>1115.461</v>
      </c>
      <c r="G9" s="5">
        <v>0</v>
      </c>
      <c r="H9" s="5">
        <f t="shared" si="4"/>
        <v>718.2</v>
      </c>
      <c r="I9" s="2">
        <v>0</v>
      </c>
      <c r="J9" s="5">
        <f t="shared" si="5"/>
        <v>156.16454000000002</v>
      </c>
      <c r="K9" s="5">
        <f t="shared" si="6"/>
        <v>17.4872908</v>
      </c>
      <c r="L9" s="5">
        <f t="shared" si="7"/>
        <v>262.30936200000002</v>
      </c>
      <c r="M9" s="2">
        <f t="shared" ref="M9:M10" si="25">50+17</f>
        <v>67</v>
      </c>
      <c r="N9" s="2">
        <v>61</v>
      </c>
      <c r="O9" s="2">
        <v>45</v>
      </c>
      <c r="P9" s="2">
        <v>10</v>
      </c>
      <c r="Q9" s="2">
        <v>60</v>
      </c>
      <c r="R9" s="2">
        <v>686</v>
      </c>
      <c r="S9" s="5">
        <v>146.4</v>
      </c>
      <c r="T9" s="2">
        <v>20</v>
      </c>
      <c r="U9" s="4">
        <f t="shared" si="8"/>
        <v>8575.0221927999992</v>
      </c>
      <c r="V9" s="2">
        <v>400</v>
      </c>
      <c r="W9" s="5">
        <f t="shared" si="9"/>
        <v>214.37555481999999</v>
      </c>
      <c r="X9" s="5">
        <f t="shared" si="10"/>
        <v>214.37555481999999</v>
      </c>
      <c r="Y9" s="6">
        <f t="shared" si="11"/>
        <v>9403.7733024400004</v>
      </c>
      <c r="Z9" s="5">
        <f t="shared" si="12"/>
        <v>428.75110963999998</v>
      </c>
      <c r="AA9" s="6">
        <f t="shared" si="13"/>
        <v>9403.7733024399986</v>
      </c>
    </row>
    <row r="10" spans="1:27" ht="26.25">
      <c r="A10" s="3" t="s">
        <v>38</v>
      </c>
      <c r="B10" s="2" t="s">
        <v>63</v>
      </c>
      <c r="C10" s="4">
        <v>2760</v>
      </c>
      <c r="D10" s="4">
        <v>80</v>
      </c>
      <c r="E10" s="4">
        <f t="shared" si="3"/>
        <v>2840</v>
      </c>
      <c r="F10" s="2">
        <v>0</v>
      </c>
      <c r="G10" s="5">
        <v>0</v>
      </c>
      <c r="H10" s="5">
        <f t="shared" si="4"/>
        <v>386.40000000000003</v>
      </c>
      <c r="I10" s="2">
        <v>0</v>
      </c>
      <c r="J10" s="5">
        <f t="shared" si="5"/>
        <v>0</v>
      </c>
      <c r="K10" s="5">
        <f t="shared" si="6"/>
        <v>7.7280000000000006</v>
      </c>
      <c r="L10" s="5">
        <f t="shared" si="7"/>
        <v>115.92</v>
      </c>
      <c r="M10" s="2">
        <f t="shared" si="25"/>
        <v>67</v>
      </c>
      <c r="N10" s="2">
        <v>61</v>
      </c>
      <c r="O10" s="2">
        <v>45</v>
      </c>
      <c r="P10" s="2">
        <v>10</v>
      </c>
      <c r="Q10" s="2">
        <v>60</v>
      </c>
      <c r="R10" s="2">
        <v>686</v>
      </c>
      <c r="S10" s="5">
        <v>146.4</v>
      </c>
      <c r="T10" s="2">
        <v>20</v>
      </c>
      <c r="U10" s="4">
        <f t="shared" si="8"/>
        <v>4445.4480000000003</v>
      </c>
      <c r="V10" s="2">
        <v>400</v>
      </c>
      <c r="W10" s="5">
        <f t="shared" si="9"/>
        <v>111.13620000000002</v>
      </c>
      <c r="X10" s="5">
        <f t="shared" si="10"/>
        <v>111.13620000000002</v>
      </c>
      <c r="Y10" s="6">
        <f t="shared" si="11"/>
        <v>5067.7204000000002</v>
      </c>
      <c r="Z10" s="5">
        <f t="shared" si="12"/>
        <v>222.27240000000003</v>
      </c>
      <c r="AA10" s="6">
        <f t="shared" si="13"/>
        <v>5067.7204000000002</v>
      </c>
    </row>
    <row r="11" spans="1:27" ht="30" customHeight="1">
      <c r="A11" s="3" t="s">
        <v>6</v>
      </c>
      <c r="B11" s="4" t="s">
        <v>65</v>
      </c>
      <c r="C11" s="4">
        <v>4580</v>
      </c>
      <c r="D11" s="4">
        <v>80</v>
      </c>
      <c r="E11" s="4">
        <f t="shared" ref="E11:E21" si="26">C11+D11</f>
        <v>4660</v>
      </c>
      <c r="F11" s="2">
        <f>E11*28.09%</f>
        <v>1308.9939999999999</v>
      </c>
      <c r="G11" s="5">
        <v>0</v>
      </c>
      <c r="H11" s="5">
        <f t="shared" si="4"/>
        <v>641.20000000000005</v>
      </c>
      <c r="I11" s="2">
        <v>0</v>
      </c>
      <c r="J11" s="5">
        <f t="shared" si="5"/>
        <v>183.25916000000001</v>
      </c>
      <c r="K11" s="5">
        <f t="shared" si="6"/>
        <v>16.489183200000003</v>
      </c>
      <c r="L11" s="5">
        <f t="shared" si="7"/>
        <v>247.33774800000003</v>
      </c>
      <c r="M11" s="2">
        <v>50</v>
      </c>
      <c r="N11" s="2">
        <v>61</v>
      </c>
      <c r="O11" s="2">
        <v>72.14</v>
      </c>
      <c r="P11" s="2">
        <v>10</v>
      </c>
      <c r="Q11" s="2">
        <v>60</v>
      </c>
      <c r="R11" s="2">
        <v>686</v>
      </c>
      <c r="S11" s="5">
        <v>146.4</v>
      </c>
      <c r="T11" s="2">
        <v>20</v>
      </c>
      <c r="U11" s="4">
        <f t="shared" si="8"/>
        <v>8162.8200911999993</v>
      </c>
      <c r="V11" s="2">
        <v>400</v>
      </c>
      <c r="W11" s="5">
        <f t="shared" si="9"/>
        <v>204.07050228</v>
      </c>
      <c r="X11" s="5">
        <f t="shared" si="10"/>
        <v>204.07050228</v>
      </c>
      <c r="Y11" s="6">
        <f t="shared" si="11"/>
        <v>8970.961095759998</v>
      </c>
      <c r="Z11" s="5">
        <f t="shared" si="12"/>
        <v>408.14100456</v>
      </c>
      <c r="AA11" s="6">
        <f t="shared" si="13"/>
        <v>8970.9610957599998</v>
      </c>
    </row>
    <row r="12" spans="1:27" ht="26.25">
      <c r="A12" s="3" t="s">
        <v>6</v>
      </c>
      <c r="B12" s="4" t="s">
        <v>41</v>
      </c>
      <c r="C12" s="4">
        <v>5685</v>
      </c>
      <c r="D12" s="4">
        <v>80</v>
      </c>
      <c r="E12" s="4">
        <f>C12+D12</f>
        <v>5765</v>
      </c>
      <c r="F12" s="2">
        <v>0</v>
      </c>
      <c r="G12" s="5">
        <v>0</v>
      </c>
      <c r="H12" s="5">
        <f>C12*0.14</f>
        <v>795.90000000000009</v>
      </c>
      <c r="I12" s="2">
        <v>0</v>
      </c>
      <c r="J12" s="5">
        <f t="shared" si="5"/>
        <v>0</v>
      </c>
      <c r="K12" s="5">
        <f t="shared" si="6"/>
        <v>15.918000000000003</v>
      </c>
      <c r="L12" s="5">
        <f t="shared" si="7"/>
        <v>238.77</v>
      </c>
      <c r="M12" s="2">
        <v>50</v>
      </c>
      <c r="N12" s="2">
        <v>61</v>
      </c>
      <c r="O12" s="2">
        <v>72.14</v>
      </c>
      <c r="P12" s="2">
        <v>10</v>
      </c>
      <c r="Q12" s="2">
        <v>60</v>
      </c>
      <c r="R12" s="2">
        <v>686</v>
      </c>
      <c r="S12" s="5">
        <v>146.4</v>
      </c>
      <c r="T12" s="2">
        <v>20</v>
      </c>
      <c r="U12" s="4">
        <f t="shared" si="8"/>
        <v>7921.1279999999997</v>
      </c>
      <c r="V12" s="2">
        <v>400</v>
      </c>
      <c r="W12" s="5">
        <f t="shared" si="9"/>
        <v>198.0282</v>
      </c>
      <c r="X12" s="5">
        <f t="shared" si="10"/>
        <v>198.0282</v>
      </c>
      <c r="Y12" s="6">
        <f t="shared" si="11"/>
        <v>8717.1844000000019</v>
      </c>
      <c r="Z12" s="5">
        <f t="shared" si="12"/>
        <v>396.0564</v>
      </c>
      <c r="AA12" s="6">
        <f t="shared" si="13"/>
        <v>8717.1844000000001</v>
      </c>
    </row>
    <row r="13" spans="1:27" s="36" customFormat="1" ht="52.5">
      <c r="A13" s="31" t="s">
        <v>7</v>
      </c>
      <c r="B13" s="2" t="s">
        <v>62</v>
      </c>
      <c r="C13" s="4">
        <v>3540</v>
      </c>
      <c r="D13" s="32">
        <v>80</v>
      </c>
      <c r="E13" s="32">
        <f>C13+D13</f>
        <v>3620</v>
      </c>
      <c r="F13" s="33">
        <f>E13*1.91%</f>
        <v>69.141999999999996</v>
      </c>
      <c r="G13" s="5">
        <v>0</v>
      </c>
      <c r="H13" s="33">
        <f>C13*0.14</f>
        <v>495.6</v>
      </c>
      <c r="I13" s="34">
        <v>0</v>
      </c>
      <c r="J13" s="33">
        <f>(F13+G13)*0.14</f>
        <v>9.6798800000000007</v>
      </c>
      <c r="K13" s="33">
        <f>(H13+J13)*2%</f>
        <v>10.105597600000001</v>
      </c>
      <c r="L13" s="33">
        <f>(H13+J13)*30%</f>
        <v>151.58396400000001</v>
      </c>
      <c r="M13" s="34">
        <v>50</v>
      </c>
      <c r="N13" s="34">
        <v>61</v>
      </c>
      <c r="O13" s="34">
        <v>72.14</v>
      </c>
      <c r="P13" s="34">
        <v>10</v>
      </c>
      <c r="Q13" s="34">
        <f>60+100</f>
        <v>160</v>
      </c>
      <c r="R13" s="2">
        <v>686</v>
      </c>
      <c r="S13" s="5">
        <v>146.4</v>
      </c>
      <c r="T13" s="2">
        <v>20</v>
      </c>
      <c r="U13" s="32">
        <f t="shared" si="8"/>
        <v>5561.6514416</v>
      </c>
      <c r="V13" s="34">
        <v>400</v>
      </c>
      <c r="W13" s="33">
        <f>U13*2.5%</f>
        <v>139.04128604000002</v>
      </c>
      <c r="X13" s="33">
        <f>U13*2.5%</f>
        <v>139.04128604000002</v>
      </c>
      <c r="Y13" s="35">
        <f>SUM(U13:X13)</f>
        <v>6239.7340136800003</v>
      </c>
      <c r="Z13" s="33">
        <f>U13*5%</f>
        <v>278.08257208000003</v>
      </c>
      <c r="AA13" s="35">
        <f>U13+V13+Z13</f>
        <v>6239.7340136800003</v>
      </c>
    </row>
    <row r="14" spans="1:27" s="36" customFormat="1" ht="52.5">
      <c r="A14" s="31" t="s">
        <v>7</v>
      </c>
      <c r="B14" s="2" t="s">
        <v>63</v>
      </c>
      <c r="C14" s="4">
        <v>2760</v>
      </c>
      <c r="D14" s="32">
        <v>80</v>
      </c>
      <c r="E14" s="32">
        <f t="shared" si="26"/>
        <v>2840</v>
      </c>
      <c r="F14" s="33">
        <f>E14*3.56%</f>
        <v>101.104</v>
      </c>
      <c r="G14" s="5">
        <v>0</v>
      </c>
      <c r="H14" s="33">
        <f>C14*0.14</f>
        <v>386.40000000000003</v>
      </c>
      <c r="I14" s="34">
        <v>0</v>
      </c>
      <c r="J14" s="33">
        <f t="shared" si="5"/>
        <v>14.154560000000002</v>
      </c>
      <c r="K14" s="33">
        <f t="shared" si="6"/>
        <v>8.011091200000001</v>
      </c>
      <c r="L14" s="33">
        <f t="shared" si="7"/>
        <v>120.16636800000001</v>
      </c>
      <c r="M14" s="34">
        <v>50</v>
      </c>
      <c r="N14" s="34">
        <v>61</v>
      </c>
      <c r="O14" s="34">
        <v>72.14</v>
      </c>
      <c r="P14" s="34">
        <v>10</v>
      </c>
      <c r="Q14" s="34">
        <f>60+100</f>
        <v>160</v>
      </c>
      <c r="R14" s="2">
        <v>686</v>
      </c>
      <c r="S14" s="5">
        <v>146.4</v>
      </c>
      <c r="T14" s="2">
        <v>20</v>
      </c>
      <c r="U14" s="32">
        <f t="shared" si="8"/>
        <v>4675.3760191999991</v>
      </c>
      <c r="V14" s="34">
        <v>400</v>
      </c>
      <c r="W14" s="33">
        <f t="shared" si="9"/>
        <v>116.88440047999998</v>
      </c>
      <c r="X14" s="33">
        <f t="shared" si="10"/>
        <v>116.88440047999998</v>
      </c>
      <c r="Y14" s="35">
        <f t="shared" si="11"/>
        <v>5309.1448201599997</v>
      </c>
      <c r="Z14" s="33">
        <f t="shared" si="12"/>
        <v>233.76880095999996</v>
      </c>
      <c r="AA14" s="35">
        <f t="shared" si="13"/>
        <v>5309.1448201599987</v>
      </c>
    </row>
    <row r="15" spans="1:27" s="36" customFormat="1" ht="38.25" customHeight="1">
      <c r="A15" s="31" t="s">
        <v>8</v>
      </c>
      <c r="B15" s="2" t="s">
        <v>62</v>
      </c>
      <c r="C15" s="4">
        <v>3540</v>
      </c>
      <c r="D15" s="32">
        <v>80</v>
      </c>
      <c r="E15" s="32">
        <f t="shared" si="26"/>
        <v>3620</v>
      </c>
      <c r="F15" s="34">
        <v>0</v>
      </c>
      <c r="G15" s="5">
        <v>0</v>
      </c>
      <c r="H15" s="33">
        <f t="shared" si="4"/>
        <v>495.6</v>
      </c>
      <c r="I15" s="34">
        <v>0</v>
      </c>
      <c r="J15" s="33">
        <f t="shared" si="5"/>
        <v>0</v>
      </c>
      <c r="K15" s="33">
        <f>(H15+J15)*2%</f>
        <v>9.9120000000000008</v>
      </c>
      <c r="L15" s="33">
        <f t="shared" si="7"/>
        <v>148.68</v>
      </c>
      <c r="M15" s="34">
        <v>50</v>
      </c>
      <c r="N15" s="34">
        <v>61</v>
      </c>
      <c r="O15" s="34">
        <v>133</v>
      </c>
      <c r="P15" s="34">
        <v>10</v>
      </c>
      <c r="Q15" s="34">
        <v>60</v>
      </c>
      <c r="R15" s="2">
        <v>686</v>
      </c>
      <c r="S15" s="5">
        <v>146.4</v>
      </c>
      <c r="T15" s="2">
        <v>20</v>
      </c>
      <c r="U15" s="32">
        <f t="shared" si="8"/>
        <v>5440.5920000000006</v>
      </c>
      <c r="V15" s="34">
        <v>400</v>
      </c>
      <c r="W15" s="33">
        <f t="shared" si="9"/>
        <v>136.01480000000001</v>
      </c>
      <c r="X15" s="33">
        <f t="shared" si="10"/>
        <v>136.01480000000001</v>
      </c>
      <c r="Y15" s="35">
        <f t="shared" si="11"/>
        <v>6112.6216000000004</v>
      </c>
      <c r="Z15" s="33">
        <f t="shared" si="12"/>
        <v>272.02960000000002</v>
      </c>
      <c r="AA15" s="35">
        <f t="shared" si="13"/>
        <v>6112.6216000000004</v>
      </c>
    </row>
    <row r="16" spans="1:27" ht="41.25" customHeight="1">
      <c r="A16" s="3" t="s">
        <v>9</v>
      </c>
      <c r="B16" s="4" t="s">
        <v>66</v>
      </c>
      <c r="C16" s="4">
        <v>4220</v>
      </c>
      <c r="D16" s="4">
        <v>80</v>
      </c>
      <c r="E16" s="4">
        <f t="shared" si="26"/>
        <v>4300</v>
      </c>
      <c r="F16" s="2">
        <v>0</v>
      </c>
      <c r="G16" s="5">
        <v>0</v>
      </c>
      <c r="H16" s="5">
        <f t="shared" si="4"/>
        <v>590.80000000000007</v>
      </c>
      <c r="I16" s="2">
        <v>0</v>
      </c>
      <c r="J16" s="5">
        <f t="shared" si="5"/>
        <v>0</v>
      </c>
      <c r="K16" s="5">
        <f t="shared" si="6"/>
        <v>11.816000000000001</v>
      </c>
      <c r="L16" s="5">
        <f t="shared" si="7"/>
        <v>177.24</v>
      </c>
      <c r="M16" s="2">
        <f>50+17</f>
        <v>67</v>
      </c>
      <c r="N16" s="2">
        <v>61</v>
      </c>
      <c r="O16" s="2">
        <v>90</v>
      </c>
      <c r="P16" s="2">
        <v>10</v>
      </c>
      <c r="Q16" s="2">
        <v>60</v>
      </c>
      <c r="R16" s="2">
        <v>686</v>
      </c>
      <c r="S16" s="5">
        <v>146.4</v>
      </c>
      <c r="T16" s="2">
        <v>20</v>
      </c>
      <c r="U16" s="4">
        <f t="shared" si="8"/>
        <v>6220.2559999999994</v>
      </c>
      <c r="V16" s="2">
        <v>400</v>
      </c>
      <c r="W16" s="5">
        <f t="shared" si="9"/>
        <v>155.50639999999999</v>
      </c>
      <c r="X16" s="5">
        <f t="shared" si="10"/>
        <v>155.50639999999999</v>
      </c>
      <c r="Y16" s="6">
        <f t="shared" si="11"/>
        <v>6931.2687999999998</v>
      </c>
      <c r="Z16" s="5">
        <f t="shared" si="12"/>
        <v>311.01279999999997</v>
      </c>
      <c r="AA16" s="6">
        <f t="shared" si="13"/>
        <v>6931.2687999999998</v>
      </c>
    </row>
    <row r="17" spans="1:27" ht="52.5">
      <c r="A17" s="3" t="s">
        <v>32</v>
      </c>
      <c r="B17" s="4" t="s">
        <v>37</v>
      </c>
      <c r="C17" s="5">
        <v>4080</v>
      </c>
      <c r="D17" s="4">
        <v>80</v>
      </c>
      <c r="E17" s="4">
        <f t="shared" si="26"/>
        <v>4160</v>
      </c>
      <c r="F17" s="2">
        <v>0</v>
      </c>
      <c r="G17" s="5">
        <v>0</v>
      </c>
      <c r="H17" s="5">
        <f>C17*14%</f>
        <v>571.20000000000005</v>
      </c>
      <c r="I17" s="2">
        <v>0</v>
      </c>
      <c r="J17" s="5">
        <f t="shared" si="5"/>
        <v>0</v>
      </c>
      <c r="K17" s="5">
        <f t="shared" si="6"/>
        <v>11.424000000000001</v>
      </c>
      <c r="L17" s="5">
        <f t="shared" si="7"/>
        <v>171.36</v>
      </c>
      <c r="M17" s="2">
        <v>50</v>
      </c>
      <c r="N17" s="2">
        <v>61</v>
      </c>
      <c r="O17" s="2">
        <v>150</v>
      </c>
      <c r="P17" s="2">
        <v>10</v>
      </c>
      <c r="Q17" s="2">
        <v>0</v>
      </c>
      <c r="R17" s="2">
        <v>686</v>
      </c>
      <c r="S17" s="5">
        <v>146.4</v>
      </c>
      <c r="T17" s="2">
        <v>20</v>
      </c>
      <c r="U17" s="4">
        <f t="shared" si="8"/>
        <v>6037.3839999999991</v>
      </c>
      <c r="V17" s="2">
        <v>400</v>
      </c>
      <c r="W17" s="5">
        <f t="shared" si="9"/>
        <v>150.93459999999999</v>
      </c>
      <c r="X17" s="5">
        <f t="shared" si="10"/>
        <v>150.93459999999999</v>
      </c>
      <c r="Y17" s="6">
        <f t="shared" si="11"/>
        <v>6739.2531999999983</v>
      </c>
      <c r="Z17" s="5">
        <f t="shared" si="12"/>
        <v>301.86919999999998</v>
      </c>
      <c r="AA17" s="6">
        <f t="shared" si="13"/>
        <v>6739.2531999999992</v>
      </c>
    </row>
    <row r="18" spans="1:27" ht="50.1" customHeight="1">
      <c r="A18" s="8" t="s">
        <v>40</v>
      </c>
      <c r="B18" s="2" t="s">
        <v>17</v>
      </c>
      <c r="C18" s="4">
        <v>4320</v>
      </c>
      <c r="D18" s="5">
        <v>0</v>
      </c>
      <c r="E18" s="4">
        <f t="shared" si="26"/>
        <v>4320</v>
      </c>
      <c r="F18" s="5">
        <v>162.38</v>
      </c>
      <c r="G18" s="5">
        <v>0</v>
      </c>
      <c r="H18" s="5">
        <v>409.92</v>
      </c>
      <c r="I18" s="2">
        <v>0</v>
      </c>
      <c r="J18" s="5">
        <f t="shared" si="5"/>
        <v>22.7332</v>
      </c>
      <c r="K18" s="5">
        <f t="shared" si="6"/>
        <v>8.6530640000000005</v>
      </c>
      <c r="L18" s="5">
        <f t="shared" si="7"/>
        <v>129.79596000000001</v>
      </c>
      <c r="M18" s="5">
        <f>50+17</f>
        <v>67</v>
      </c>
      <c r="N18" s="2">
        <v>61</v>
      </c>
      <c r="O18" s="5">
        <f>15.46+53.87</f>
        <v>69.33</v>
      </c>
      <c r="P18" s="5">
        <v>10</v>
      </c>
      <c r="Q18" s="5">
        <v>0</v>
      </c>
      <c r="R18" s="2">
        <v>686</v>
      </c>
      <c r="S18" s="5">
        <v>146.4</v>
      </c>
      <c r="T18" s="2">
        <v>20</v>
      </c>
      <c r="U18" s="4">
        <f t="shared" si="8"/>
        <v>6113.2122239999999</v>
      </c>
      <c r="V18" s="2">
        <v>400</v>
      </c>
      <c r="W18" s="5">
        <f t="shared" si="9"/>
        <v>152.8303056</v>
      </c>
      <c r="X18" s="5">
        <f t="shared" si="10"/>
        <v>152.8303056</v>
      </c>
      <c r="Y18" s="6">
        <f t="shared" si="11"/>
        <v>6818.8728352000007</v>
      </c>
      <c r="Z18" s="5">
        <f t="shared" si="12"/>
        <v>305.66061120000001</v>
      </c>
      <c r="AA18" s="6">
        <f t="shared" si="13"/>
        <v>6818.8728351999998</v>
      </c>
    </row>
    <row r="19" spans="1:27" ht="81" customHeight="1">
      <c r="A19" s="30" t="s">
        <v>55</v>
      </c>
      <c r="B19" s="2" t="s">
        <v>63</v>
      </c>
      <c r="C19" s="4">
        <v>2020</v>
      </c>
      <c r="D19" s="4">
        <v>80</v>
      </c>
      <c r="E19" s="4">
        <f t="shared" si="26"/>
        <v>2100</v>
      </c>
      <c r="F19" s="2">
        <v>0</v>
      </c>
      <c r="G19" s="5">
        <v>0</v>
      </c>
      <c r="H19" s="5">
        <f>C19*0.14</f>
        <v>282.8</v>
      </c>
      <c r="I19" s="2">
        <v>0</v>
      </c>
      <c r="J19" s="5">
        <f t="shared" si="5"/>
        <v>0</v>
      </c>
      <c r="K19" s="5">
        <f>(H19+J19)*2%</f>
        <v>5.6560000000000006</v>
      </c>
      <c r="L19" s="5">
        <f>(H19+J19)*30%</f>
        <v>84.84</v>
      </c>
      <c r="M19" s="2">
        <v>50</v>
      </c>
      <c r="N19" s="2">
        <v>61</v>
      </c>
      <c r="O19" s="2">
        <v>165</v>
      </c>
      <c r="P19" s="2">
        <v>10</v>
      </c>
      <c r="Q19" s="2">
        <v>38.840000000000003</v>
      </c>
      <c r="R19" s="2">
        <v>686</v>
      </c>
      <c r="S19" s="5">
        <v>146.4</v>
      </c>
      <c r="T19" s="2">
        <v>20</v>
      </c>
      <c r="U19" s="4">
        <f t="shared" si="8"/>
        <v>3650.5360000000005</v>
      </c>
      <c r="V19" s="2">
        <v>400</v>
      </c>
      <c r="W19" s="5">
        <f>U19*2.5%</f>
        <v>91.263400000000019</v>
      </c>
      <c r="X19" s="5">
        <f>U19*2.5%</f>
        <v>91.263400000000019</v>
      </c>
      <c r="Y19" s="6">
        <f>SUM(U19:X19)</f>
        <v>4233.0628000000006</v>
      </c>
      <c r="Z19" s="5">
        <f>U19*5%</f>
        <v>182.52680000000004</v>
      </c>
      <c r="AA19" s="6">
        <f>U19+V19+Z19</f>
        <v>4233.0628000000006</v>
      </c>
    </row>
    <row r="20" spans="1:27" ht="46.5" customHeight="1">
      <c r="A20" s="30" t="s">
        <v>59</v>
      </c>
      <c r="B20" s="2" t="s">
        <v>65</v>
      </c>
      <c r="C20" s="4">
        <v>4580</v>
      </c>
      <c r="D20" s="4">
        <v>80</v>
      </c>
      <c r="E20" s="4">
        <f t="shared" ref="E20" si="27">C20+D20</f>
        <v>4660</v>
      </c>
      <c r="F20" s="2">
        <v>0</v>
      </c>
      <c r="G20" s="5">
        <v>0</v>
      </c>
      <c r="H20" s="5">
        <f>C20*0.14</f>
        <v>641.20000000000005</v>
      </c>
      <c r="I20" s="37">
        <v>0</v>
      </c>
      <c r="J20" s="5">
        <f t="shared" ref="J20" si="28">(F20+G20)*0.14</f>
        <v>0</v>
      </c>
      <c r="K20" s="5">
        <f>(H20+J20)*2%</f>
        <v>12.824000000000002</v>
      </c>
      <c r="L20" s="5">
        <f>(H20+J20)*30%</f>
        <v>192.36</v>
      </c>
      <c r="M20" s="5">
        <f>50+17</f>
        <v>67</v>
      </c>
      <c r="N20" s="2">
        <v>61</v>
      </c>
      <c r="O20" s="5">
        <v>90</v>
      </c>
      <c r="P20" s="5">
        <v>10</v>
      </c>
      <c r="Q20" s="5">
        <v>275</v>
      </c>
      <c r="R20" s="2">
        <v>686</v>
      </c>
      <c r="S20" s="5">
        <v>146.4</v>
      </c>
      <c r="T20" s="2">
        <v>20</v>
      </c>
      <c r="U20" s="4">
        <f t="shared" ref="U20" si="29">SUM(E20:T20)</f>
        <v>6861.7839999999987</v>
      </c>
      <c r="V20" s="2">
        <v>400</v>
      </c>
      <c r="W20" s="5">
        <f>U20*2.5%</f>
        <v>171.54459999999997</v>
      </c>
      <c r="X20" s="5">
        <f>U20*2.5%</f>
        <v>171.54459999999997</v>
      </c>
      <c r="Y20" s="6">
        <f>SUM(U20:X20)</f>
        <v>7604.8731999999991</v>
      </c>
      <c r="Z20" s="5">
        <f>U20*5%</f>
        <v>343.08919999999995</v>
      </c>
      <c r="AA20" s="6">
        <f>U20+V20+Z20</f>
        <v>7604.8731999999991</v>
      </c>
    </row>
    <row r="21" spans="1:27" ht="46.5" customHeight="1">
      <c r="A21" s="30" t="s">
        <v>59</v>
      </c>
      <c r="B21" s="2" t="s">
        <v>60</v>
      </c>
      <c r="C21" s="4">
        <v>2020</v>
      </c>
      <c r="D21" s="4">
        <v>80</v>
      </c>
      <c r="E21" s="4">
        <f t="shared" si="26"/>
        <v>2100</v>
      </c>
      <c r="F21" s="2">
        <v>0</v>
      </c>
      <c r="G21" s="5">
        <v>0</v>
      </c>
      <c r="H21" s="5">
        <f>C21*0.14</f>
        <v>282.8</v>
      </c>
      <c r="I21" s="37">
        <v>0</v>
      </c>
      <c r="J21" s="5">
        <f t="shared" si="5"/>
        <v>0</v>
      </c>
      <c r="K21" s="5">
        <f>(H21+J21)*2%</f>
        <v>5.6560000000000006</v>
      </c>
      <c r="L21" s="5">
        <f>(H21+J21)*30%</f>
        <v>84.84</v>
      </c>
      <c r="M21" s="5">
        <f>50+17</f>
        <v>67</v>
      </c>
      <c r="N21" s="2">
        <v>61</v>
      </c>
      <c r="O21" s="5">
        <v>90</v>
      </c>
      <c r="P21" s="5">
        <v>10</v>
      </c>
      <c r="Q21" s="5">
        <v>275</v>
      </c>
      <c r="R21" s="2">
        <v>686</v>
      </c>
      <c r="S21" s="5">
        <v>146.4</v>
      </c>
      <c r="T21" s="2">
        <v>20</v>
      </c>
      <c r="U21" s="4">
        <f t="shared" si="8"/>
        <v>3828.6960000000004</v>
      </c>
      <c r="V21" s="2">
        <v>400</v>
      </c>
      <c r="W21" s="5">
        <f>U21*2.5%</f>
        <v>95.717400000000012</v>
      </c>
      <c r="X21" s="5">
        <f>U21*2.5%</f>
        <v>95.717400000000012</v>
      </c>
      <c r="Y21" s="6">
        <f>SUM(U21:X21)</f>
        <v>4420.1308000000008</v>
      </c>
      <c r="Z21" s="5">
        <f>U21*5%</f>
        <v>191.43480000000002</v>
      </c>
      <c r="AA21" s="6">
        <f>U21+V21+Z21</f>
        <v>4420.1307999999999</v>
      </c>
    </row>
  </sheetData>
  <autoFilter ref="A2:AB21"/>
  <mergeCells count="1">
    <mergeCell ref="A1:AA1"/>
  </mergeCells>
  <phoneticPr fontId="1" type="noConversion"/>
  <pageMargins left="0.55118110236220474" right="0" top="0.59055118110236227" bottom="0" header="0.74803149606299213" footer="0"/>
  <pageSetup scale="27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A23"/>
  <sheetViews>
    <sheetView view="pageBreakPreview" zoomScale="60" workbookViewId="0">
      <selection activeCell="A3" sqref="A3"/>
    </sheetView>
  </sheetViews>
  <sheetFormatPr defaultColWidth="12.28515625" defaultRowHeight="15"/>
  <cols>
    <col min="1" max="1" width="26.28515625" style="11" customWidth="1"/>
    <col min="2" max="2" width="12.28515625" style="11"/>
    <col min="3" max="3" width="12.5703125" style="11" customWidth="1"/>
    <col min="4" max="4" width="16.28515625" style="11" bestFit="1" customWidth="1"/>
    <col min="5" max="5" width="12.28515625" style="11" hidden="1" customWidth="1"/>
    <col min="6" max="6" width="0.5703125" style="11" customWidth="1"/>
    <col min="7" max="8" width="12.28515625" style="11" hidden="1" customWidth="1"/>
    <col min="9" max="9" width="0.7109375" style="11" customWidth="1"/>
    <col min="10" max="10" width="12.28515625" style="11" hidden="1" customWidth="1"/>
    <col min="11" max="11" width="20.5703125" style="11" customWidth="1"/>
    <col min="12" max="16384" width="12.28515625" style="11"/>
  </cols>
  <sheetData>
    <row r="1" spans="1:27" s="1" customFormat="1" ht="66.599999999999994" customHeight="1">
      <c r="A1" s="40" t="s">
        <v>53</v>
      </c>
      <c r="B1" s="41"/>
      <c r="C1" s="41"/>
      <c r="D1" s="41"/>
      <c r="E1" s="41"/>
      <c r="F1" s="41"/>
      <c r="G1" s="41"/>
      <c r="H1" s="41"/>
      <c r="I1" s="41"/>
      <c r="J1" s="41"/>
      <c r="K1" s="42"/>
      <c r="L1" s="18"/>
      <c r="M1" s="18"/>
      <c r="N1" s="18"/>
      <c r="O1" s="18"/>
      <c r="P1" s="18"/>
      <c r="Q1" s="18"/>
      <c r="R1" s="14"/>
      <c r="S1" s="14"/>
      <c r="T1" s="14"/>
      <c r="U1" s="14"/>
      <c r="V1" s="14"/>
      <c r="W1" s="14"/>
      <c r="X1" s="14"/>
      <c r="Y1" s="14"/>
      <c r="Z1" s="15"/>
      <c r="AA1" s="2"/>
    </row>
    <row r="2" spans="1:27" ht="86.45" customHeight="1">
      <c r="A2" s="19" t="s">
        <v>0</v>
      </c>
      <c r="B2" s="10" t="s">
        <v>23</v>
      </c>
      <c r="C2" s="10" t="s">
        <v>22</v>
      </c>
      <c r="D2" s="10" t="s">
        <v>18</v>
      </c>
      <c r="E2" s="10" t="s">
        <v>10</v>
      </c>
      <c r="F2" s="10" t="s">
        <v>51</v>
      </c>
      <c r="G2" s="10" t="s">
        <v>46</v>
      </c>
      <c r="H2" s="10" t="s">
        <v>48</v>
      </c>
      <c r="I2" s="10" t="s">
        <v>47</v>
      </c>
      <c r="J2" s="10" t="s">
        <v>49</v>
      </c>
      <c r="K2" s="20" t="s">
        <v>50</v>
      </c>
    </row>
    <row r="3" spans="1:27" ht="25.15" customHeight="1">
      <c r="A3" s="10" t="s">
        <v>3</v>
      </c>
      <c r="B3" s="10" t="s">
        <v>24</v>
      </c>
      <c r="C3" s="24" t="s">
        <v>12</v>
      </c>
      <c r="D3" s="24">
        <v>3100</v>
      </c>
      <c r="E3" s="16">
        <v>4220.5239999999994</v>
      </c>
      <c r="F3" s="16">
        <v>400</v>
      </c>
      <c r="G3" s="16">
        <v>105.51309999999999</v>
      </c>
      <c r="H3" s="16">
        <v>105.51309999999999</v>
      </c>
      <c r="I3" s="16">
        <v>4831.5501999999997</v>
      </c>
      <c r="J3" s="16">
        <v>211.02619999999999</v>
      </c>
      <c r="K3" s="21">
        <f>'NEW PRICE LIST RAIL'!AA4</f>
        <v>8038.145199999999</v>
      </c>
    </row>
    <row r="4" spans="1:27" ht="25.15" customHeight="1">
      <c r="A4" s="10" t="s">
        <v>3</v>
      </c>
      <c r="B4" s="10" t="s">
        <v>25</v>
      </c>
      <c r="C4" s="25" t="s">
        <v>15</v>
      </c>
      <c r="D4" s="24">
        <v>1500</v>
      </c>
      <c r="E4" s="16">
        <v>2230.0600000000004</v>
      </c>
      <c r="F4" s="16">
        <v>400</v>
      </c>
      <c r="G4" s="16">
        <v>55.751500000000014</v>
      </c>
      <c r="H4" s="16">
        <v>55.751500000000014</v>
      </c>
      <c r="I4" s="16">
        <v>2741.5630000000001</v>
      </c>
      <c r="J4" s="16">
        <v>111.50300000000003</v>
      </c>
      <c r="K4" s="21">
        <f>'NEW PRICE LIST RAIL'!AA5</f>
        <v>5107.6204000000007</v>
      </c>
    </row>
    <row r="5" spans="1:27" ht="25.15" customHeight="1">
      <c r="A5" s="10" t="s">
        <v>4</v>
      </c>
      <c r="B5" s="10" t="s">
        <v>25</v>
      </c>
      <c r="C5" s="25" t="s">
        <v>15</v>
      </c>
      <c r="D5" s="24">
        <v>1500</v>
      </c>
      <c r="E5" s="16">
        <v>2243.0600000000004</v>
      </c>
      <c r="F5" s="16">
        <v>400</v>
      </c>
      <c r="G5" s="16">
        <v>56.07650000000001</v>
      </c>
      <c r="H5" s="16">
        <v>56.07650000000001</v>
      </c>
      <c r="I5" s="16">
        <v>2755.2130000000006</v>
      </c>
      <c r="J5" s="16">
        <v>112.15300000000002</v>
      </c>
      <c r="K5" s="21">
        <f>'NEW PRICE LIST RAIL'!AA7</f>
        <v>6090.7979598399997</v>
      </c>
    </row>
    <row r="6" spans="1:27" ht="24.6" customHeight="1">
      <c r="A6" s="10" t="s">
        <v>20</v>
      </c>
      <c r="B6" s="10" t="s">
        <v>26</v>
      </c>
      <c r="C6" s="25" t="s">
        <v>16</v>
      </c>
      <c r="D6" s="24">
        <v>1000</v>
      </c>
      <c r="E6" s="16">
        <v>1571.04</v>
      </c>
      <c r="F6" s="16">
        <v>400</v>
      </c>
      <c r="G6" s="16">
        <v>39.276000000000003</v>
      </c>
      <c r="H6" s="16">
        <v>39.276000000000003</v>
      </c>
      <c r="I6" s="16">
        <v>2049.5920000000001</v>
      </c>
      <c r="J6" s="16">
        <v>78.552000000000007</v>
      </c>
      <c r="K6" s="21">
        <f>'NEW PRICE LIST RAIL'!AA8</f>
        <v>4278.3808000000008</v>
      </c>
    </row>
    <row r="7" spans="1:27" ht="0.6" customHeight="1">
      <c r="A7" s="10" t="s">
        <v>4</v>
      </c>
      <c r="B7" s="10"/>
      <c r="C7" s="25" t="s">
        <v>52</v>
      </c>
      <c r="D7" s="24">
        <v>590</v>
      </c>
      <c r="E7" s="16">
        <v>1060.9836</v>
      </c>
      <c r="F7" s="16">
        <v>400</v>
      </c>
      <c r="G7" s="16">
        <v>26.524590000000003</v>
      </c>
      <c r="H7" s="16">
        <v>26.524590000000003</v>
      </c>
      <c r="I7" s="16">
        <v>1514.03278</v>
      </c>
      <c r="J7" s="16">
        <v>53.049180000000007</v>
      </c>
      <c r="K7" s="21" t="e">
        <f>'NEW PRICE LIST RAIL'!#REF!</f>
        <v>#REF!</v>
      </c>
    </row>
    <row r="8" spans="1:27" ht="25.15" customHeight="1">
      <c r="A8" s="10" t="s">
        <v>5</v>
      </c>
      <c r="B8" s="10" t="s">
        <v>24</v>
      </c>
      <c r="C8" s="24" t="s">
        <v>12</v>
      </c>
      <c r="D8" s="24">
        <v>3100</v>
      </c>
      <c r="E8" s="16">
        <v>4232.5239999999994</v>
      </c>
      <c r="F8" s="16">
        <v>400</v>
      </c>
      <c r="G8" s="16">
        <v>105.81309999999999</v>
      </c>
      <c r="H8" s="16">
        <v>105.81309999999999</v>
      </c>
      <c r="I8" s="16">
        <v>4844.1502</v>
      </c>
      <c r="J8" s="16">
        <v>211.62619999999998</v>
      </c>
      <c r="K8" s="21">
        <f>'NEW PRICE LIST RAIL'!AA9</f>
        <v>9403.7733024399986</v>
      </c>
    </row>
    <row r="9" spans="1:27" ht="25.15" customHeight="1">
      <c r="A9" s="10" t="s">
        <v>38</v>
      </c>
      <c r="B9" s="10" t="s">
        <v>25</v>
      </c>
      <c r="C9" s="25" t="s">
        <v>15</v>
      </c>
      <c r="D9" s="24">
        <v>1500</v>
      </c>
      <c r="E9" s="16">
        <v>2242.0600000000004</v>
      </c>
      <c r="F9" s="16">
        <v>400</v>
      </c>
      <c r="G9" s="16">
        <v>56.051500000000011</v>
      </c>
      <c r="H9" s="16">
        <v>56.051500000000011</v>
      </c>
      <c r="I9" s="16">
        <v>2754.1630000000005</v>
      </c>
      <c r="J9" s="16">
        <v>112.10300000000002</v>
      </c>
      <c r="K9" s="21">
        <f>'NEW PRICE LIST RAIL'!AA10</f>
        <v>5067.7204000000002</v>
      </c>
    </row>
    <row r="10" spans="1:27" ht="25.15" customHeight="1">
      <c r="A10" s="10" t="s">
        <v>44</v>
      </c>
      <c r="B10" s="10" t="s">
        <v>28</v>
      </c>
      <c r="C10" s="24" t="s">
        <v>13</v>
      </c>
      <c r="D10" s="24">
        <v>2800</v>
      </c>
      <c r="E10" s="16">
        <v>3860.7719999999999</v>
      </c>
      <c r="F10" s="16">
        <v>400</v>
      </c>
      <c r="G10" s="16">
        <v>96.519300000000001</v>
      </c>
      <c r="H10" s="16">
        <v>96.519300000000001</v>
      </c>
      <c r="I10" s="16">
        <v>4453.8105999999998</v>
      </c>
      <c r="J10" s="16">
        <v>193.0386</v>
      </c>
      <c r="K10" s="21" t="e">
        <f>'NEW PRICE LIST RAIL'!#REF!</f>
        <v>#REF!</v>
      </c>
    </row>
    <row r="11" spans="1:27" ht="25.15" customHeight="1">
      <c r="A11" s="10" t="s">
        <v>6</v>
      </c>
      <c r="B11" s="10" t="s">
        <v>24</v>
      </c>
      <c r="C11" s="24" t="s">
        <v>36</v>
      </c>
      <c r="D11" s="24">
        <v>2900</v>
      </c>
      <c r="E11" s="16">
        <v>4010.8559999999998</v>
      </c>
      <c r="F11" s="16">
        <v>400</v>
      </c>
      <c r="G11" s="16">
        <v>100.2714</v>
      </c>
      <c r="H11" s="16">
        <v>100.2714</v>
      </c>
      <c r="I11" s="16">
        <v>4611.398799999999</v>
      </c>
      <c r="J11" s="16">
        <v>200.5428</v>
      </c>
      <c r="K11" s="21">
        <f>'NEW PRICE LIST RAIL'!AA11</f>
        <v>8970.9610957599998</v>
      </c>
    </row>
    <row r="12" spans="1:27" ht="25.15" customHeight="1">
      <c r="A12" s="10" t="s">
        <v>6</v>
      </c>
      <c r="B12" s="10" t="s">
        <v>42</v>
      </c>
      <c r="C12" s="24" t="s">
        <v>41</v>
      </c>
      <c r="D12" s="24">
        <v>3700</v>
      </c>
      <c r="E12" s="16">
        <v>5006.0879999999997</v>
      </c>
      <c r="F12" s="16">
        <v>400</v>
      </c>
      <c r="G12" s="16">
        <v>125.15219999999999</v>
      </c>
      <c r="H12" s="16">
        <v>125.15219999999999</v>
      </c>
      <c r="I12" s="16">
        <v>5656.3924000000006</v>
      </c>
      <c r="J12" s="16">
        <v>250.30439999999999</v>
      </c>
      <c r="K12" s="21">
        <f>'NEW PRICE LIST RAIL'!AA12</f>
        <v>8717.1844000000001</v>
      </c>
    </row>
    <row r="13" spans="1:27" ht="25.15" customHeight="1">
      <c r="A13" s="10" t="s">
        <v>7</v>
      </c>
      <c r="B13" s="10" t="s">
        <v>27</v>
      </c>
      <c r="C13" s="24" t="s">
        <v>37</v>
      </c>
      <c r="D13" s="24">
        <v>2660</v>
      </c>
      <c r="E13" s="16">
        <v>3712.2864</v>
      </c>
      <c r="F13" s="16">
        <v>400</v>
      </c>
      <c r="G13" s="16">
        <v>92.80716000000001</v>
      </c>
      <c r="H13" s="16">
        <v>92.80716000000001</v>
      </c>
      <c r="I13" s="16">
        <v>4297.9007200000005</v>
      </c>
      <c r="J13" s="16">
        <v>185.61432000000002</v>
      </c>
      <c r="K13" s="21" t="e">
        <f>'NEW PRICE LIST RAIL'!#REF!</f>
        <v>#REF!</v>
      </c>
    </row>
    <row r="14" spans="1:27" ht="25.15" customHeight="1">
      <c r="A14" s="10" t="s">
        <v>7</v>
      </c>
      <c r="B14" s="10" t="s">
        <v>25</v>
      </c>
      <c r="C14" s="24" t="s">
        <v>14</v>
      </c>
      <c r="D14" s="24">
        <v>2150</v>
      </c>
      <c r="E14" s="16">
        <v>2269.2000000000003</v>
      </c>
      <c r="F14" s="16">
        <v>400</v>
      </c>
      <c r="G14" s="16">
        <v>56.730000000000011</v>
      </c>
      <c r="H14" s="16">
        <v>56.730000000000011</v>
      </c>
      <c r="I14" s="16">
        <v>2782.6600000000003</v>
      </c>
      <c r="J14" s="16">
        <v>113.46000000000002</v>
      </c>
      <c r="K14" s="21">
        <f>'NEW PRICE LIST RAIL'!AA13</f>
        <v>6239.7340136800003</v>
      </c>
    </row>
    <row r="15" spans="1:27" ht="25.15" customHeight="1">
      <c r="A15" s="10" t="s">
        <v>7</v>
      </c>
      <c r="B15" s="10" t="s">
        <v>27</v>
      </c>
      <c r="C15" s="24" t="s">
        <v>15</v>
      </c>
      <c r="D15" s="24">
        <v>1500</v>
      </c>
      <c r="E15" s="16">
        <v>3144.6860000000001</v>
      </c>
      <c r="F15" s="16">
        <v>400</v>
      </c>
      <c r="G15" s="16">
        <v>78.617150000000009</v>
      </c>
      <c r="H15" s="16">
        <v>78.617150000000009</v>
      </c>
      <c r="I15" s="16">
        <v>3701.9203000000002</v>
      </c>
      <c r="J15" s="16">
        <v>157.23430000000002</v>
      </c>
      <c r="K15" s="21">
        <f>'NEW PRICE LIST RAIL'!AA14</f>
        <v>5309.1448201599987</v>
      </c>
    </row>
    <row r="16" spans="1:27" ht="25.15" customHeight="1">
      <c r="A16" s="10" t="s">
        <v>8</v>
      </c>
      <c r="B16" s="10" t="s">
        <v>28</v>
      </c>
      <c r="C16" s="24" t="s">
        <v>14</v>
      </c>
      <c r="D16" s="24">
        <v>2150</v>
      </c>
      <c r="E16" s="16">
        <v>3904.3119999999999</v>
      </c>
      <c r="F16" s="16">
        <v>400</v>
      </c>
      <c r="G16" s="16">
        <v>97.607799999999997</v>
      </c>
      <c r="H16" s="16">
        <v>97.607799999999997</v>
      </c>
      <c r="I16" s="16">
        <v>4499.5275999999994</v>
      </c>
      <c r="J16" s="16">
        <v>195.21559999999999</v>
      </c>
      <c r="K16" s="21">
        <f>'NEW PRICE LIST RAIL'!AA15</f>
        <v>6112.6216000000004</v>
      </c>
    </row>
    <row r="17" spans="1:11" ht="25.15" customHeight="1">
      <c r="A17" s="10" t="s">
        <v>9</v>
      </c>
      <c r="B17" s="10" t="s">
        <v>29</v>
      </c>
      <c r="C17" s="24" t="s">
        <v>13</v>
      </c>
      <c r="D17" s="24">
        <v>2800</v>
      </c>
      <c r="E17" s="16">
        <v>4017.1108000000004</v>
      </c>
      <c r="F17" s="16">
        <v>400</v>
      </c>
      <c r="G17" s="16">
        <v>100.42777000000001</v>
      </c>
      <c r="H17" s="16">
        <v>100.42777000000001</v>
      </c>
      <c r="I17" s="16">
        <v>4617.9663400000009</v>
      </c>
      <c r="J17" s="16">
        <v>200.85554000000002</v>
      </c>
      <c r="K17" s="21">
        <f>'NEW PRICE LIST RAIL'!AA16</f>
        <v>6931.2687999999998</v>
      </c>
    </row>
    <row r="18" spans="1:11" ht="25.15" customHeight="1">
      <c r="A18" s="10" t="s">
        <v>39</v>
      </c>
      <c r="B18" s="12" t="s">
        <v>27</v>
      </c>
      <c r="C18" s="26" t="s">
        <v>17</v>
      </c>
      <c r="D18" s="24">
        <v>2900</v>
      </c>
      <c r="E18" s="16">
        <v>3800.1464000000001</v>
      </c>
      <c r="F18" s="16">
        <v>400</v>
      </c>
      <c r="G18" s="16">
        <v>95.003660000000011</v>
      </c>
      <c r="H18" s="16">
        <v>95.003660000000011</v>
      </c>
      <c r="I18" s="16">
        <v>4390.1537200000002</v>
      </c>
      <c r="J18" s="16">
        <v>190.00732000000002</v>
      </c>
      <c r="K18" s="21" t="e">
        <f>'NEW PRICE LIST RAIL'!#REF!</f>
        <v>#REF!</v>
      </c>
    </row>
    <row r="19" spans="1:11" ht="25.15" customHeight="1" thickBot="1">
      <c r="A19" s="10" t="s">
        <v>32</v>
      </c>
      <c r="B19" s="22" t="s">
        <v>29</v>
      </c>
      <c r="C19" s="24" t="s">
        <v>37</v>
      </c>
      <c r="D19" s="26">
        <v>2660</v>
      </c>
      <c r="E19" s="23">
        <v>3928.2808</v>
      </c>
      <c r="F19" s="23">
        <v>400</v>
      </c>
      <c r="G19" s="23">
        <v>98.20702</v>
      </c>
      <c r="H19" s="23">
        <v>98.20702</v>
      </c>
      <c r="I19" s="23">
        <v>4524.6948400000001</v>
      </c>
      <c r="J19" s="23">
        <v>196.41404</v>
      </c>
      <c r="K19" s="21">
        <f>'NEW PRICE LIST RAIL'!AA17</f>
        <v>6739.2531999999992</v>
      </c>
    </row>
    <row r="20" spans="1:11" ht="23.45" customHeight="1">
      <c r="A20" s="12" t="s">
        <v>40</v>
      </c>
      <c r="C20" s="25" t="s">
        <v>17</v>
      </c>
      <c r="D20" s="26">
        <v>2900</v>
      </c>
      <c r="E20" s="17"/>
      <c r="F20" s="17"/>
      <c r="G20" s="17"/>
      <c r="H20" s="17"/>
      <c r="I20" s="17"/>
      <c r="J20" s="17"/>
      <c r="K20" s="21">
        <f>'NEW PRICE LIST RAIL'!AA18</f>
        <v>6818.8728351999998</v>
      </c>
    </row>
    <row r="22" spans="1:11">
      <c r="D22" s="13"/>
      <c r="E22" s="13"/>
    </row>
    <row r="23" spans="1:11">
      <c r="D23" s="13"/>
      <c r="E23" s="13"/>
    </row>
  </sheetData>
  <mergeCells count="1">
    <mergeCell ref="A1:K1"/>
  </mergeCells>
  <pageMargins left="0.70866141732283472" right="0.70866141732283472" top="0.74803149606299213" bottom="0.74803149606299213" header="0.31496062992125984" footer="0.31496062992125984"/>
  <pageSetup paperSize="9" scale="7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NEW PRICE LIST RAIL</vt:lpstr>
      <vt:lpstr>Sheet3</vt:lpstr>
      <vt:lpstr>Sheet1</vt:lpstr>
      <vt:lpstr>Sheet2</vt:lpstr>
      <vt:lpstr>'NEW PRICE LIST RAIL'!Print_Area</vt:lpstr>
      <vt:lpstr>Sheet1!Print_Area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sccl</cp:lastModifiedBy>
  <cp:lastPrinted>2017-12-14T09:20:03Z</cp:lastPrinted>
  <dcterms:created xsi:type="dcterms:W3CDTF">2012-05-11T06:32:59Z</dcterms:created>
  <dcterms:modified xsi:type="dcterms:W3CDTF">2025-04-16T10:27:27Z</dcterms:modified>
</cp:coreProperties>
</file>