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Objects="none" defaultThemeVersion="124226"/>
  <bookViews>
    <workbookView xWindow="-105" yWindow="-105" windowWidth="21840" windowHeight="12570" firstSheet="1" activeTab="1"/>
  </bookViews>
  <sheets>
    <sheet name="Title" sheetId="43" r:id="rId1"/>
    <sheet name="ARR" sheetId="55" r:id="rId2"/>
    <sheet name="escalation" sheetId="56" r:id="rId3"/>
    <sheet name="Index " sheetId="45" state="hidden" r:id="rId4"/>
    <sheet name="Form 1" sheetId="2" r:id="rId5"/>
    <sheet name="Form 2" sheetId="26" r:id="rId6"/>
    <sheet name="Form 3" sheetId="4" r:id="rId7"/>
    <sheet name="Form 5" sheetId="5" r:id="rId8"/>
    <sheet name="form5A" sheetId="30" state="hidden" r:id="rId9"/>
    <sheet name="Form 5B " sheetId="27" r:id="rId10"/>
    <sheet name="5B for text" sheetId="38" state="hidden" r:id="rId11"/>
    <sheet name="Form 6" sheetId="46" r:id="rId12"/>
    <sheet name="Form 7 " sheetId="12" r:id="rId13"/>
    <sheet name="Form 9 add cap" sheetId="14" state="hidden" r:id="rId14"/>
    <sheet name="Form-11" sheetId="41" r:id="rId15"/>
    <sheet name="Form 5B" sheetId="7" state="hidden" r:id="rId16"/>
    <sheet name="Table 9" sheetId="9" state="hidden" r:id="rId17"/>
    <sheet name="Form 5D" sheetId="11" state="hidden" r:id="rId18"/>
    <sheet name="Table 13" sheetId="13" state="hidden" r:id="rId19"/>
    <sheet name="Depr" sheetId="16" state="hidden" r:id="rId20"/>
    <sheet name="Form 12" sheetId="40" r:id="rId21"/>
    <sheet name="Form 13" sheetId="33" r:id="rId22"/>
    <sheet name="Form 13A" sheetId="42" r:id="rId23"/>
    <sheet name="Form13B" sheetId="23" r:id="rId24"/>
    <sheet name="Form 14" sheetId="17" r:id="rId25"/>
    <sheet name="Form 16-O&amp;M" sheetId="44" r:id="rId26"/>
    <sheet name="Form 18 LDO (2)" sheetId="49" r:id="rId27"/>
    <sheet name="Form 18 HFO (2)" sheetId="50" r:id="rId28"/>
    <sheet name="Form 18 Coal (2)" sheetId="51" r:id="rId29"/>
    <sheet name="Energy Charges" sheetId="20" r:id="rId30"/>
    <sheet name="Form15 Coal " sheetId="21" state="hidden" r:id="rId31"/>
    <sheet name="Form15 OIL" sheetId="22" state="hidden" r:id="rId32"/>
    <sheet name="form5D" sheetId="31" state="hidden" r:id="rId33"/>
    <sheet name="13A sub" sheetId="32" state="hidden" r:id="rId34"/>
    <sheet name="CC_T14_old" sheetId="34" state="hidden" r:id="rId35"/>
    <sheet name="FUEL COST" sheetId="52" r:id="rId36"/>
    <sheet name="Incentive" sheetId="54" r:id="rId37"/>
    <sheet name="FGD and Nox" sheetId="57" r:id="rId38"/>
    <sheet name="loan restructuring" sheetId="37" r:id="rId39"/>
    <sheet name="App III -liability " sheetId="39" state="hidden" r:id="rId40"/>
    <sheet name="App-IV input Capital cost" sheetId="24" state="hidden" r:id="rId41"/>
    <sheet name="TSERC allowance" sheetId="35" state="hidden" r:id="rId42"/>
    <sheet name="Form 5B  (2)" sheetId="47" state="hidden" r:id="rId43"/>
  </sheets>
  <externalReferences>
    <externalReference r:id="rId44"/>
    <externalReference r:id="rId45"/>
    <externalReference r:id="rId46"/>
    <externalReference r:id="rId47"/>
    <externalReference r:id="rId48"/>
    <externalReference r:id="rId49"/>
    <externalReference r:id="rId50"/>
  </externalReferences>
  <definedNames>
    <definedName name="_Hlk1989129" localSheetId="20">'Form 12'!$L$99</definedName>
    <definedName name="_Ref441831867" localSheetId="34">CC_T14_old!$A$1</definedName>
    <definedName name="_Toc442179767" localSheetId="5">'Form 2'!$A$5</definedName>
    <definedName name="_Toc442179769" localSheetId="10">'5B for text'!$A$5</definedName>
    <definedName name="_Toc442179769" localSheetId="39">'App III -liability '!$A$5</definedName>
    <definedName name="_Toc442179769" localSheetId="20">'Form 12'!$A$5</definedName>
    <definedName name="_Toc442179769" localSheetId="9">'Form 5B '!$A$5</definedName>
    <definedName name="_Toc442179769" localSheetId="42">'Form 5B  (2)'!$A$5</definedName>
    <definedName name="_Toc442179769" localSheetId="41">'TSERC allowance'!$A$5</definedName>
    <definedName name="abc" localSheetId="10" hidden="1">{"key inputs",#N/A,TRUE,"Key Inputs";"key outputs",#N/A,TRUE,"Outputs";"Other inputs",#N/A,TRUE,"Other Inputs";"Revenue",#N/A,TRUE,"Rev"}</definedName>
    <definedName name="abc" localSheetId="39" hidden="1">{"key inputs",#N/A,TRUE,"Key Inputs";"key outputs",#N/A,TRUE,"Outputs";"Other inputs",#N/A,TRUE,"Other Inputs";"Revenue",#N/A,TRUE,"Rev"}</definedName>
    <definedName name="abc" localSheetId="34" hidden="1">{"key inputs",#N/A,TRUE,"Key Inputs";"key outputs",#N/A,TRUE,"Outputs";"Other inputs",#N/A,TRUE,"Other Inputs";"Revenue",#N/A,TRUE,"Rev"}</definedName>
    <definedName name="abc" localSheetId="20" hidden="1">{"key inputs",#N/A,TRUE,"Key Inputs";"key outputs",#N/A,TRUE,"Outputs";"Other inputs",#N/A,TRUE,"Other Inputs";"Revenue",#N/A,TRUE,"Rev"}</definedName>
    <definedName name="abc" localSheetId="28" hidden="1">{"key inputs",#N/A,TRUE,"Key Inputs";"key outputs",#N/A,TRUE,"Outputs";"Other inputs",#N/A,TRUE,"Other Inputs";"Revenue",#N/A,TRUE,"Rev"}</definedName>
    <definedName name="abc" localSheetId="27" hidden="1">{"key inputs",#N/A,TRUE,"Key Inputs";"key outputs",#N/A,TRUE,"Outputs";"Other inputs",#N/A,TRUE,"Other Inputs";"Revenue",#N/A,TRUE,"Rev"}</definedName>
    <definedName name="abc" localSheetId="9" hidden="1">{"key inputs",#N/A,TRUE,"Key Inputs";"key outputs",#N/A,TRUE,"Outputs";"Other inputs",#N/A,TRUE,"Other Inputs";"Revenue",#N/A,TRUE,"Rev"}</definedName>
    <definedName name="abc" localSheetId="42" hidden="1">{"key inputs",#N/A,TRUE,"Key Inputs";"key outputs",#N/A,TRUE,"Outputs";"Other inputs",#N/A,TRUE,"Other Inputs";"Revenue",#N/A,TRUE,"Rev"}</definedName>
    <definedName name="abc" localSheetId="3" hidden="1">{"key inputs",#N/A,TRUE,"Key Inputs";"key outputs",#N/A,TRUE,"Outputs";"Other inputs",#N/A,TRUE,"Other Inputs";"Revenue",#N/A,TRUE,"Rev"}</definedName>
    <definedName name="abc" localSheetId="41" hidden="1">{"key inputs",#N/A,TRUE,"Key Inputs";"key outputs",#N/A,TRUE,"Outputs";"Other inputs",#N/A,TRUE,"Other Inputs";"Revenue",#N/A,TRUE,"Rev"}</definedName>
    <definedName name="abc" hidden="1">{"key inputs",#N/A,TRUE,"Key Inputs";"key outputs",#N/A,TRUE,"Outputs";"Other inputs",#N/A,TRUE,"Other Inputs";"Revenue",#N/A,TRUE,"Rev"}</definedName>
    <definedName name="asd" localSheetId="10" hidden="1">{"key inputs",#N/A,FALSE,"Key Inputs";"key outputs",#N/A,FALSE,"Outputs";"Other inputs",#N/A,FALSE,"Other Inputs";"cashflow",#N/A,FALSE,"Statemnts"}</definedName>
    <definedName name="asd" localSheetId="39" hidden="1">{"key inputs",#N/A,FALSE,"Key Inputs";"key outputs",#N/A,FALSE,"Outputs";"Other inputs",#N/A,FALSE,"Other Inputs";"cashflow",#N/A,FALSE,"Statemnts"}</definedName>
    <definedName name="asd" localSheetId="34" hidden="1">{"key inputs",#N/A,FALSE,"Key Inputs";"key outputs",#N/A,FALSE,"Outputs";"Other inputs",#N/A,FALSE,"Other Inputs";"cashflow",#N/A,FALSE,"Statemnts"}</definedName>
    <definedName name="asd" localSheetId="20" hidden="1">{"key inputs",#N/A,FALSE,"Key Inputs";"key outputs",#N/A,FALSE,"Outputs";"Other inputs",#N/A,FALSE,"Other Inputs";"cashflow",#N/A,FALSE,"Statemnts"}</definedName>
    <definedName name="asd" localSheetId="28" hidden="1">{"key inputs",#N/A,FALSE,"Key Inputs";"key outputs",#N/A,FALSE,"Outputs";"Other inputs",#N/A,FALSE,"Other Inputs";"cashflow",#N/A,FALSE,"Statemnts"}</definedName>
    <definedName name="asd" localSheetId="27" hidden="1">{"key inputs",#N/A,FALSE,"Key Inputs";"key outputs",#N/A,FALSE,"Outputs";"Other inputs",#N/A,FALSE,"Other Inputs";"cashflow",#N/A,FALSE,"Statemnts"}</definedName>
    <definedName name="asd" localSheetId="9" hidden="1">{"key inputs",#N/A,FALSE,"Key Inputs";"key outputs",#N/A,FALSE,"Outputs";"Other inputs",#N/A,FALSE,"Other Inputs";"cashflow",#N/A,FALSE,"Statemnts"}</definedName>
    <definedName name="asd" localSheetId="42" hidden="1">{"key inputs",#N/A,FALSE,"Key Inputs";"key outputs",#N/A,FALSE,"Outputs";"Other inputs",#N/A,FALSE,"Other Inputs";"cashflow",#N/A,FALSE,"Statemnts"}</definedName>
    <definedName name="asd" localSheetId="3" hidden="1">{"key inputs",#N/A,FALSE,"Key Inputs";"key outputs",#N/A,FALSE,"Outputs";"Other inputs",#N/A,FALSE,"Other Inputs";"cashflow",#N/A,FALSE,"Statemnts"}</definedName>
    <definedName name="asd" localSheetId="41" hidden="1">{"key inputs",#N/A,FALSE,"Key Inputs";"key outputs",#N/A,FALSE,"Outputs";"Other inputs",#N/A,FALSE,"Other Inputs";"cashflow",#N/A,FALSE,"Statemnts"}</definedName>
    <definedName name="asd" hidden="1">{"key inputs",#N/A,FALSE,"Key Inputs";"key outputs",#N/A,FALSE,"Outputs";"Other inputs",#N/A,FALSE,"Other Inputs";"cashflow",#N/A,FALSE,"Statemnts"}</definedName>
    <definedName name="Currency" localSheetId="10">[1]Inputs!#REF!</definedName>
    <definedName name="Currency" localSheetId="39">[1]Inputs!#REF!</definedName>
    <definedName name="Currency" localSheetId="20">[1]Inputs!#REF!</definedName>
    <definedName name="Currency" localSheetId="21">[1]Inputs!#REF!</definedName>
    <definedName name="Currency" localSheetId="27">[2]Inputs!#REF!</definedName>
    <definedName name="Currency" localSheetId="26">[2]Inputs!#REF!</definedName>
    <definedName name="Currency" localSheetId="42">[1]Inputs!#REF!</definedName>
    <definedName name="Currency" localSheetId="3">[1]Inputs!#REF!</definedName>
    <definedName name="Currency" localSheetId="41">[1]Inputs!#REF!</definedName>
    <definedName name="Currency">[1]Inputs!#REF!</definedName>
    <definedName name="Header1" localSheetId="10" hidden="1">IF(COUNTA(#REF!)=0,0,INDEX(#REF!,MATCH(ROW(#REF!),#REF!,TRUE)))+1</definedName>
    <definedName name="Header1" localSheetId="39" hidden="1">IF(COUNTA(#REF!)=0,0,INDEX(#REF!,MATCH(ROW(#REF!),#REF!,TRUE)))+1</definedName>
    <definedName name="Header1" localSheetId="34" hidden="1">IF(COUNTA(#REF!)=0,0,INDEX(#REF!,MATCH(ROW(#REF!),#REF!,TRUE)))+1</definedName>
    <definedName name="Header1" localSheetId="20" hidden="1">IF(COUNTA(#REF!)=0,0,INDEX(#REF!,MATCH(ROW(#REF!),#REF!,TRUE)))+1</definedName>
    <definedName name="Header1" localSheetId="21" hidden="1">IF(COUNTA(#REF!)=0,0,INDEX(#REF!,MATCH(ROW(#REF!),#REF!,TRUE)))+1</definedName>
    <definedName name="Header1" localSheetId="27" hidden="1">IF(COUNTA(#REF!)=0,0,INDEX(#REF!,MATCH(ROW(#REF!),#REF!,TRUE)))+1</definedName>
    <definedName name="Header1" localSheetId="26" hidden="1">IF(COUNTA(#REF!)=0,0,INDEX(#REF!,MATCH(ROW(#REF!),#REF!,TRUE)))+1</definedName>
    <definedName name="Header1" localSheetId="42" hidden="1">IF(COUNTA(#REF!)=0,0,INDEX(#REF!,MATCH(ROW(#REF!),#REF!,TRUE)))+1</definedName>
    <definedName name="Header1" localSheetId="3" hidden="1">IF(COUNTA(#REF!)=0,0,INDEX(#REF!,MATCH(ROW(#REF!),#REF!,TRUE)))+1</definedName>
    <definedName name="Header1" localSheetId="41" hidden="1">IF(COUNTA(#REF!)=0,0,INDEX(#REF!,MATCH(ROW(#REF!),#REF!,TRUE)))+1</definedName>
    <definedName name="Header1" hidden="1">IF(COUNTA(#REF!)=0,0,INDEX(#REF!,MATCH(ROW(#REF!),#REF!,TRUE)))+1</definedName>
    <definedName name="Header2" localSheetId="10" hidden="1">[3]!Header1-1 &amp; "." &amp; MAX(1,COUNTA(INDEX(#REF!,MATCH([3]!Header1-1,#REF!,FALSE)):#REF!))</definedName>
    <definedName name="Header2" localSheetId="39" hidden="1">[3]!Header1-1 &amp; "." &amp; MAX(1,COUNTA(INDEX(#REF!,MATCH([3]!Header1-1,#REF!,FALSE)):#REF!))</definedName>
    <definedName name="Header2" localSheetId="34" hidden="1">[3]!Header1-1 &amp; "." &amp; MAX(1,COUNTA(INDEX(#REF!,MATCH([3]!Header1-1,#REF!,FALSE)):#REF!))</definedName>
    <definedName name="Header2" localSheetId="20" hidden="1">[3]!Header1-1 &amp; "." &amp; MAX(1,COUNTA(INDEX(#REF!,MATCH([3]!Header1-1,#REF!,FALSE)):#REF!))</definedName>
    <definedName name="Header2" localSheetId="21" hidden="1">[3]!Header1-1 &amp; "." &amp; MAX(1,COUNTA(INDEX(#REF!,MATCH([3]!Header1-1,#REF!,FALSE)):#REF!))</definedName>
    <definedName name="Header2" localSheetId="27" hidden="1">[4]!Header1-1 &amp; "." &amp; MAX(1,COUNTA(INDEX(#REF!,MATCH([4]!Header1-1,#REF!,FALSE)):#REF!))</definedName>
    <definedName name="Header2" localSheetId="26" hidden="1">[4]!Header1-1 &amp; "." &amp; MAX(1,COUNTA(INDEX(#REF!,MATCH([4]!Header1-1,#REF!,FALSE)):#REF!))</definedName>
    <definedName name="Header2" localSheetId="42" hidden="1">[3]!Header1-1 &amp; "." &amp; MAX(1,COUNTA(INDEX(#REF!,MATCH([3]!Header1-1,#REF!,FALSE)):#REF!))</definedName>
    <definedName name="Header2" localSheetId="3" hidden="1">[3]!Header1-1 &amp; "." &amp; MAX(1,COUNTA(INDEX(#REF!,MATCH([3]!Header1-1,#REF!,FALSE)):#REF!))</definedName>
    <definedName name="Header2" localSheetId="41" hidden="1">[3]!Header1-1 &amp; "." &amp; MAX(1,COUNTA(INDEX(#REF!,MATCH([3]!Header1-1,#REF!,FALSE)):#REF!))</definedName>
    <definedName name="Header2" hidden="1">[3]!Header1-1 &amp; "." &amp; MAX(1,COUNTA(INDEX(#REF!,MATCH([3]!Header1-1,#REF!,FALSE)):#REF!))</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DUSTRY_REC_NO" hidden="1">"c4454"</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EXP_DATE" hidden="1">"c3043"</definedName>
    <definedName name="IQ_CONV_PREMIUM" hidden="1">"c2195"</definedName>
    <definedName name="IQ_CONV_PRICE" hidden="1">"c2193"</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BUY_REUT" hidden="1">"c3869"</definedName>
    <definedName name="IQ_EST_NUM_HOLD" hidden="1">"c1761"</definedName>
    <definedName name="IQ_EST_NUM_HOLD_REUT" hidden="1">"c3871"</definedName>
    <definedName name="IQ_EST_NUM_NO_OPINION" hidden="1">"c1758"</definedName>
    <definedName name="IQ_EST_NUM_NO_OPINION_REUT" hidden="1">"c3868"</definedName>
    <definedName name="IQ_EST_NUM_OUTPERFORM" hidden="1">"c1760"</definedName>
    <definedName name="IQ_EST_NUM_OUTPERFORM_REUT" hidden="1">"c3870"</definedName>
    <definedName name="IQ_EST_NUM_SELL" hidden="1">"c1763"</definedName>
    <definedName name="IQ_EST_NUM_SELL_REUT" hidden="1">"c3873"</definedName>
    <definedName name="IQ_EST_NUM_UNDERPERFORM" hidden="1">"c1762"</definedName>
    <definedName name="IQ_EST_NUM_UNDERPERFORM_REUT" hidden="1">"c3872"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"c5615"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T_DATE_SCHEDULE" hidden="1">"c2483"</definedName>
    <definedName name="IQ_PUT_NOTIFICATION" hidden="1">"c2485"</definedName>
    <definedName name="IQ_PUT_PRICE_SCHEDULE" hidden="1">"c2484"</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39520.4343865741</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Months_in_year">[1]Inputs!$G$26</definedName>
    <definedName name="page47" localSheetId="8">form5A!#REF!</definedName>
    <definedName name="_xlnm.Print_Area" localSheetId="10">'5B for text'!$A$2:$L$62</definedName>
    <definedName name="_xlnm.Print_Area" localSheetId="39">'App III -liability '!$A$2:$H$72</definedName>
    <definedName name="_xlnm.Print_Area" localSheetId="40">'App-IV input Capital cost'!$B$2:$L$47</definedName>
    <definedName name="_xlnm.Print_Area" localSheetId="29">'Energy Charges'!$B$3:$D$30</definedName>
    <definedName name="_xlnm.Print_Area" localSheetId="4">'Form 1'!$A$1:$L$42</definedName>
    <definedName name="_xlnm.Print_Area" localSheetId="20">'Form 12'!$A$2:$J$46</definedName>
    <definedName name="_xlnm.Print_Area" localSheetId="21">'Form 13'!$A$1:$H$63</definedName>
    <definedName name="_xlnm.Print_Area" localSheetId="24">'Form 14'!$A$1:$K$35</definedName>
    <definedName name="_xlnm.Print_Area" localSheetId="6">'Form 3'!$A$1:$H$39</definedName>
    <definedName name="_xlnm.Print_Area" localSheetId="7">'Form 5'!$A$1:$B$26</definedName>
    <definedName name="_xlnm.Print_Area" localSheetId="9">'Form 5B '!$A$2:$K$73</definedName>
    <definedName name="_xlnm.Print_Area" localSheetId="42">'Form 5B  (2)'!$A$2:$J$73</definedName>
    <definedName name="_xlnm.Print_Area" localSheetId="12">'Form 7 '!$A$1:$D$55</definedName>
    <definedName name="_xlnm.Print_Area" localSheetId="23">Form13B!$B$3:$L$25</definedName>
    <definedName name="_xlnm.Print_Area" localSheetId="30">'Form15 Coal '!$A$1:$I$43</definedName>
    <definedName name="_xlnm.Print_Area" localSheetId="31">'Form15 OIL'!$A$1:$I$41</definedName>
    <definedName name="_xlnm.Print_Area" localSheetId="8">form5A!$A$1:$C$50</definedName>
    <definedName name="_xlnm.Print_Area" localSheetId="38">'loan restructuring'!$B$2:$G$30</definedName>
    <definedName name="_xlnm.Print_Area" localSheetId="0">Title!$C$11:$E$19</definedName>
    <definedName name="_xlnm.Print_Area" localSheetId="41">'TSERC allowance'!$A$10:$AE$68</definedName>
    <definedName name="wrn.Inputs._.outputs." localSheetId="10" hidden="1">{"key inputs",#N/A,FALSE,"Key Inputs";"key outputs",#N/A,FALSE,"Outputs";"Other inputs",#N/A,FALSE,"Other Inputs";"cashflow",#N/A,FALSE,"Statemnts"}</definedName>
    <definedName name="wrn.Inputs._.outputs." localSheetId="39" hidden="1">{"key inputs",#N/A,FALSE,"Key Inputs";"key outputs",#N/A,FALSE,"Outputs";"Other inputs",#N/A,FALSE,"Other Inputs";"cashflow",#N/A,FALSE,"Statemnts"}</definedName>
    <definedName name="wrn.Inputs._.outputs." localSheetId="34" hidden="1">{"key inputs",#N/A,FALSE,"Key Inputs";"key outputs",#N/A,FALSE,"Outputs";"Other inputs",#N/A,FALSE,"Other Inputs";"cashflow",#N/A,FALSE,"Statemnts"}</definedName>
    <definedName name="wrn.Inputs._.outputs." localSheetId="20" hidden="1">{"key inputs",#N/A,FALSE,"Key Inputs";"key outputs",#N/A,FALSE,"Outputs";"Other inputs",#N/A,FALSE,"Other Inputs";"cashflow",#N/A,FALSE,"Statemnts"}</definedName>
    <definedName name="wrn.Inputs._.outputs." localSheetId="28" hidden="1">{"key inputs",#N/A,FALSE,"Key Inputs";"key outputs",#N/A,FALSE,"Outputs";"Other inputs",#N/A,FALSE,"Other Inputs";"cashflow",#N/A,FALSE,"Statemnts"}</definedName>
    <definedName name="wrn.Inputs._.outputs." localSheetId="27" hidden="1">{"key inputs",#N/A,FALSE,"Key Inputs";"key outputs",#N/A,FALSE,"Outputs";"Other inputs",#N/A,FALSE,"Other Inputs";"cashflow",#N/A,FALSE,"Statemnts"}</definedName>
    <definedName name="wrn.Inputs._.outputs." localSheetId="9" hidden="1">{"key inputs",#N/A,FALSE,"Key Inputs";"key outputs",#N/A,FALSE,"Outputs";"Other inputs",#N/A,FALSE,"Other Inputs";"cashflow",#N/A,FALSE,"Statemnts"}</definedName>
    <definedName name="wrn.Inputs._.outputs." localSheetId="42" hidden="1">{"key inputs",#N/A,FALSE,"Key Inputs";"key outputs",#N/A,FALSE,"Outputs";"Other inputs",#N/A,FALSE,"Other Inputs";"cashflow",#N/A,FALSE,"Statemnts"}</definedName>
    <definedName name="wrn.Inputs._.outputs." localSheetId="3" hidden="1">{"key inputs",#N/A,FALSE,"Key Inputs";"key outputs",#N/A,FALSE,"Outputs";"Other inputs",#N/A,FALSE,"Other Inputs";"cashflow",#N/A,FALSE,"Statemnts"}</definedName>
    <definedName name="wrn.Inputs._.outputs." localSheetId="41" hidden="1">{"key inputs",#N/A,FALSE,"Key Inputs";"key outputs",#N/A,FALSE,"Outputs";"Other inputs",#N/A,FALSE,"Other Inputs";"cashflow",#N/A,FALSE,"Statemnts"}</definedName>
    <definedName name="wrn.Inputs._.outputs." hidden="1">{"key inputs",#N/A,FALSE,"Key Inputs";"key outputs",#N/A,FALSE,"Outputs";"Other inputs",#N/A,FALSE,"Other Inputs";"cashflow",#N/A,FALSE,"Statemnts"}</definedName>
    <definedName name="wrn.Summary._.results." localSheetId="10" hidden="1">{"key inputs",#N/A,TRUE,"Key Inputs";"key outputs",#N/A,TRUE,"Outputs";"Other inputs",#N/A,TRUE,"Other Inputs";"Revenue",#N/A,TRUE,"Rev"}</definedName>
    <definedName name="wrn.Summary._.results." localSheetId="39" hidden="1">{"key inputs",#N/A,TRUE,"Key Inputs";"key outputs",#N/A,TRUE,"Outputs";"Other inputs",#N/A,TRUE,"Other Inputs";"Revenue",#N/A,TRUE,"Rev"}</definedName>
    <definedName name="wrn.Summary._.results." localSheetId="34" hidden="1">{"key inputs",#N/A,TRUE,"Key Inputs";"key outputs",#N/A,TRUE,"Outputs";"Other inputs",#N/A,TRUE,"Other Inputs";"Revenue",#N/A,TRUE,"Rev"}</definedName>
    <definedName name="wrn.Summary._.results." localSheetId="20" hidden="1">{"key inputs",#N/A,TRUE,"Key Inputs";"key outputs",#N/A,TRUE,"Outputs";"Other inputs",#N/A,TRUE,"Other Inputs";"Revenue",#N/A,TRUE,"Rev"}</definedName>
    <definedName name="wrn.Summary._.results." localSheetId="28" hidden="1">{"key inputs",#N/A,TRUE,"Key Inputs";"key outputs",#N/A,TRUE,"Outputs";"Other inputs",#N/A,TRUE,"Other Inputs";"Revenue",#N/A,TRUE,"Rev"}</definedName>
    <definedName name="wrn.Summary._.results." localSheetId="27" hidden="1">{"key inputs",#N/A,TRUE,"Key Inputs";"key outputs",#N/A,TRUE,"Outputs";"Other inputs",#N/A,TRUE,"Other Inputs";"Revenue",#N/A,TRUE,"Rev"}</definedName>
    <definedName name="wrn.Summary._.results." localSheetId="9" hidden="1">{"key inputs",#N/A,TRUE,"Key Inputs";"key outputs",#N/A,TRUE,"Outputs";"Other inputs",#N/A,TRUE,"Other Inputs";"Revenue",#N/A,TRUE,"Rev"}</definedName>
    <definedName name="wrn.Summary._.results." localSheetId="42" hidden="1">{"key inputs",#N/A,TRUE,"Key Inputs";"key outputs",#N/A,TRUE,"Outputs";"Other inputs",#N/A,TRUE,"Other Inputs";"Revenue",#N/A,TRUE,"Rev"}</definedName>
    <definedName name="wrn.Summary._.results." localSheetId="3" hidden="1">{"key inputs",#N/A,TRUE,"Key Inputs";"key outputs",#N/A,TRUE,"Outputs";"Other inputs",#N/A,TRUE,"Other Inputs";"Revenue",#N/A,TRUE,"Rev"}</definedName>
    <definedName name="wrn.Summary._.results." localSheetId="41" hidden="1">{"key inputs",#N/A,TRUE,"Key Inputs";"key outputs",#N/A,TRUE,"Outputs";"Other inputs",#N/A,TRUE,"Other Inputs";"Revenue",#N/A,TRUE,"Rev"}</definedName>
    <definedName name="wrn.Summary._.results." hidden="1">{"key inputs",#N/A,TRUE,"Key Inputs";"key outputs",#N/A,TRUE,"Outputs";"Other inputs",#N/A,TRUE,"Other Inputs";"Revenue",#N/A,TRUE,"Rev"}</definedName>
  </definedNames>
  <calcPr calcId="125725"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41"/>
  <c r="H45" i="33"/>
  <c r="H34"/>
  <c r="H15" i="42" l="1"/>
  <c r="G15"/>
  <c r="E31" i="57" l="1"/>
  <c r="F31"/>
  <c r="D31"/>
  <c r="D17" i="20"/>
  <c r="F18"/>
  <c r="G18" s="1"/>
  <c r="H18" s="1"/>
  <c r="E18"/>
  <c r="D18"/>
  <c r="I80"/>
  <c r="J80"/>
  <c r="J71"/>
  <c r="J72"/>
  <c r="J73"/>
  <c r="J74"/>
  <c r="J75"/>
  <c r="J77"/>
  <c r="J78"/>
  <c r="J79"/>
  <c r="D16"/>
  <c r="I71" l="1"/>
  <c r="I72"/>
  <c r="I73"/>
  <c r="I74"/>
  <c r="I75"/>
  <c r="I76"/>
  <c r="I77"/>
  <c r="I78"/>
  <c r="I79"/>
  <c r="E70"/>
  <c r="E69"/>
  <c r="E79"/>
  <c r="E78"/>
  <c r="E77"/>
  <c r="E76"/>
  <c r="E75"/>
  <c r="E74"/>
  <c r="E73"/>
  <c r="E72"/>
  <c r="E71"/>
  <c r="C34" i="55" l="1"/>
  <c r="D34" l="1"/>
  <c r="E34"/>
  <c r="F34"/>
  <c r="G34"/>
  <c r="K51" i="27" l="1"/>
  <c r="C50" i="55" l="1"/>
  <c r="D39"/>
  <c r="E39" s="1"/>
  <c r="F39" s="1"/>
  <c r="D40"/>
  <c r="E40" s="1"/>
  <c r="F40" s="1"/>
  <c r="G40" s="1"/>
  <c r="D41"/>
  <c r="E41" s="1"/>
  <c r="F41" s="1"/>
  <c r="G41" s="1"/>
  <c r="D42"/>
  <c r="E42" s="1"/>
  <c r="F42" s="1"/>
  <c r="G42" s="1"/>
  <c r="D43"/>
  <c r="E43" s="1"/>
  <c r="F43" s="1"/>
  <c r="G43" s="1"/>
  <c r="D44"/>
  <c r="E44" s="1"/>
  <c r="F44" s="1"/>
  <c r="G44" s="1"/>
  <c r="D45"/>
  <c r="E45" s="1"/>
  <c r="F45" s="1"/>
  <c r="G45" s="1"/>
  <c r="D46"/>
  <c r="E46" s="1"/>
  <c r="F46" s="1"/>
  <c r="G46" s="1"/>
  <c r="D47"/>
  <c r="E47" s="1"/>
  <c r="F47" s="1"/>
  <c r="G47" s="1"/>
  <c r="D48"/>
  <c r="E48" s="1"/>
  <c r="F48" s="1"/>
  <c r="G48" s="1"/>
  <c r="D49"/>
  <c r="E49" s="1"/>
  <c r="F49" s="1"/>
  <c r="G49" s="1"/>
  <c r="D38"/>
  <c r="E38" s="1"/>
  <c r="F38" s="1"/>
  <c r="G38" s="1"/>
  <c r="D50" l="1"/>
  <c r="G39"/>
  <c r="G50" s="1"/>
  <c r="F50"/>
  <c r="E50"/>
  <c r="J53" i="20" l="1"/>
  <c r="J54"/>
  <c r="J56"/>
  <c r="J59"/>
  <c r="J62"/>
  <c r="J63"/>
  <c r="J64"/>
  <c r="J65"/>
  <c r="J66"/>
  <c r="J67"/>
  <c r="J68"/>
  <c r="J51"/>
  <c r="I53"/>
  <c r="I56"/>
  <c r="I62"/>
  <c r="I63"/>
  <c r="I64"/>
  <c r="I66"/>
  <c r="I67"/>
  <c r="I68"/>
  <c r="I48"/>
  <c r="H52"/>
  <c r="H53"/>
  <c r="E48"/>
  <c r="H48" s="1"/>
  <c r="E68"/>
  <c r="H68" s="1"/>
  <c r="E49"/>
  <c r="H49" s="1"/>
  <c r="E50"/>
  <c r="H50" s="1"/>
  <c r="E51"/>
  <c r="H51" s="1"/>
  <c r="E52"/>
  <c r="E53"/>
  <c r="E54"/>
  <c r="H54" s="1"/>
  <c r="E55"/>
  <c r="H55" s="1"/>
  <c r="E56"/>
  <c r="H56" s="1"/>
  <c r="E57"/>
  <c r="H57" s="1"/>
  <c r="E58"/>
  <c r="H58" s="1"/>
  <c r="E59"/>
  <c r="H59" s="1"/>
  <c r="E60"/>
  <c r="H60" s="1"/>
  <c r="E61"/>
  <c r="H61" s="1"/>
  <c r="E62"/>
  <c r="H62" s="1"/>
  <c r="E63"/>
  <c r="H63" s="1"/>
  <c r="E64"/>
  <c r="H64" s="1"/>
  <c r="E65"/>
  <c r="H65" s="1"/>
  <c r="E66"/>
  <c r="H66" s="1"/>
  <c r="E67"/>
  <c r="H67" s="1"/>
  <c r="E47"/>
  <c r="I81" l="1"/>
  <c r="H78"/>
  <c r="H74"/>
  <c r="H69"/>
  <c r="H75"/>
  <c r="H76"/>
  <c r="H71"/>
  <c r="H73"/>
  <c r="H79"/>
  <c r="H77"/>
  <c r="H72"/>
  <c r="H70"/>
  <c r="J81"/>
  <c r="E53" i="55"/>
  <c r="D18"/>
  <c r="C18"/>
  <c r="E13" i="54"/>
  <c r="G13" i="52"/>
  <c r="D53" i="55" s="1"/>
  <c r="H13" i="52"/>
  <c r="I13"/>
  <c r="F53" i="55" s="1"/>
  <c r="J13" i="52"/>
  <c r="G53" i="55" s="1"/>
  <c r="F13" i="52"/>
  <c r="C53" i="55" s="1"/>
  <c r="F17" i="4"/>
  <c r="H80" i="20" l="1"/>
  <c r="H81" s="1"/>
  <c r="C13" i="54"/>
  <c r="D13"/>
  <c r="G13"/>
  <c r="F13"/>
  <c r="B23" i="57"/>
  <c r="C26" i="55" s="1"/>
  <c r="D22" i="57"/>
  <c r="E22"/>
  <c r="F22"/>
  <c r="C21"/>
  <c r="D21" s="1"/>
  <c r="E21" s="1"/>
  <c r="F21" s="1"/>
  <c r="C20"/>
  <c r="C23" s="1"/>
  <c r="D26" i="55" s="1"/>
  <c r="D37" i="57"/>
  <c r="E21" i="55" s="1"/>
  <c r="E37" i="57"/>
  <c r="F21" i="55" s="1"/>
  <c r="F37" i="57"/>
  <c r="G21" i="55" s="1"/>
  <c r="B36" i="57"/>
  <c r="B37" s="1"/>
  <c r="C21" i="55" s="1"/>
  <c r="C36" i="57"/>
  <c r="C37" s="1"/>
  <c r="D21" i="55" s="1"/>
  <c r="A36" i="57"/>
  <c r="C15"/>
  <c r="C16" s="1"/>
  <c r="D20" i="55" s="1"/>
  <c r="D15" i="57"/>
  <c r="E15" s="1"/>
  <c r="F15" s="1"/>
  <c r="F16" s="1"/>
  <c r="G20" i="55" s="1"/>
  <c r="B15" i="57"/>
  <c r="B16" s="1"/>
  <c r="C20" i="55" s="1"/>
  <c r="D20" i="57" l="1"/>
  <c r="F29"/>
  <c r="G18" i="55" s="1"/>
  <c r="F28" i="57"/>
  <c r="D16"/>
  <c r="E16"/>
  <c r="E20" l="1"/>
  <c r="D23"/>
  <c r="F20" i="55"/>
  <c r="E29" i="57"/>
  <c r="F18" i="55" s="1"/>
  <c r="E28" i="57"/>
  <c r="E20" i="55"/>
  <c r="D29" i="57"/>
  <c r="E18" i="55" s="1"/>
  <c r="D28" i="57"/>
  <c r="E14" i="20"/>
  <c r="F14"/>
  <c r="G14"/>
  <c r="H14"/>
  <c r="E26" i="55" l="1"/>
  <c r="D27" i="57"/>
  <c r="F20"/>
  <c r="F23" s="1"/>
  <c r="E23"/>
  <c r="E13" i="20"/>
  <c r="F13"/>
  <c r="M16" i="50"/>
  <c r="N16"/>
  <c r="M18"/>
  <c r="N18"/>
  <c r="L18"/>
  <c r="L16"/>
  <c r="M22"/>
  <c r="N22"/>
  <c r="L22"/>
  <c r="K25" i="51"/>
  <c r="J25"/>
  <c r="H25"/>
  <c r="G25"/>
  <c r="G26" s="1"/>
  <c r="E25"/>
  <c r="D25"/>
  <c r="L24"/>
  <c r="I24"/>
  <c r="F24"/>
  <c r="L23"/>
  <c r="I23"/>
  <c r="F23"/>
  <c r="F25" s="1"/>
  <c r="L22"/>
  <c r="I22"/>
  <c r="F22"/>
  <c r="L21"/>
  <c r="I25"/>
  <c r="K20"/>
  <c r="J20"/>
  <c r="I20"/>
  <c r="H20"/>
  <c r="G20"/>
  <c r="E20"/>
  <c r="E26" s="1"/>
  <c r="D20"/>
  <c r="D26" s="1"/>
  <c r="L18"/>
  <c r="L20" s="1"/>
  <c r="F20"/>
  <c r="K16"/>
  <c r="D16"/>
  <c r="D17" s="1"/>
  <c r="K15"/>
  <c r="K17" s="1"/>
  <c r="J15"/>
  <c r="H15"/>
  <c r="H16" s="1"/>
  <c r="H17" s="1"/>
  <c r="G15"/>
  <c r="E15"/>
  <c r="E16" s="1"/>
  <c r="E17" s="1"/>
  <c r="D15"/>
  <c r="L14"/>
  <c r="I14"/>
  <c r="F14"/>
  <c r="L13"/>
  <c r="L15" s="1"/>
  <c r="I13"/>
  <c r="I15" s="1"/>
  <c r="F15"/>
  <c r="F16" s="1"/>
  <c r="F17" s="1"/>
  <c r="C7"/>
  <c r="C6"/>
  <c r="F25" i="50"/>
  <c r="E25"/>
  <c r="D25"/>
  <c r="F20"/>
  <c r="E20"/>
  <c r="E26" s="1"/>
  <c r="E28" s="1"/>
  <c r="M21" s="1"/>
  <c r="D20"/>
  <c r="D26" s="1"/>
  <c r="F15"/>
  <c r="F17" s="1"/>
  <c r="N20" s="1"/>
  <c r="E15"/>
  <c r="E17" s="1"/>
  <c r="M20" s="1"/>
  <c r="D15"/>
  <c r="D17" s="1"/>
  <c r="L20" s="1"/>
  <c r="C7"/>
  <c r="C6"/>
  <c r="E26" i="49"/>
  <c r="F25"/>
  <c r="E25"/>
  <c r="D25"/>
  <c r="D26" s="1"/>
  <c r="D28" s="1"/>
  <c r="L17" i="50" s="1"/>
  <c r="F20" i="49"/>
  <c r="F26" s="1"/>
  <c r="E20"/>
  <c r="D20"/>
  <c r="F17"/>
  <c r="F15"/>
  <c r="E15"/>
  <c r="E17" s="1"/>
  <c r="D15"/>
  <c r="D17" s="1"/>
  <c r="C7"/>
  <c r="K26" i="51" l="1"/>
  <c r="K28" s="1"/>
  <c r="L25"/>
  <c r="L26" s="1"/>
  <c r="J26"/>
  <c r="J16"/>
  <c r="J17" s="1"/>
  <c r="H26"/>
  <c r="H28" s="1"/>
  <c r="D28" i="50"/>
  <c r="L21" s="1"/>
  <c r="F26" i="51"/>
  <c r="F28" s="1"/>
  <c r="E28" i="49"/>
  <c r="M17" i="50" s="1"/>
  <c r="M25" s="1"/>
  <c r="D28" i="51"/>
  <c r="F26" i="55"/>
  <c r="E27" i="57"/>
  <c r="I26" i="51"/>
  <c r="G26" i="55"/>
  <c r="F27" i="57"/>
  <c r="G16" i="51"/>
  <c r="G17" s="1"/>
  <c r="G28" s="1"/>
  <c r="F26" i="50"/>
  <c r="F28" s="1"/>
  <c r="N21" s="1"/>
  <c r="F28" i="49"/>
  <c r="N17" i="50" s="1"/>
  <c r="L26"/>
  <c r="L25"/>
  <c r="N26"/>
  <c r="N24"/>
  <c r="E28" i="51"/>
  <c r="L24" i="50"/>
  <c r="M24"/>
  <c r="M26"/>
  <c r="L16" i="51"/>
  <c r="L17" s="1"/>
  <c r="I16"/>
  <c r="I17" s="1"/>
  <c r="L28" l="1"/>
  <c r="I28"/>
  <c r="R29"/>
  <c r="E16" i="20" s="1"/>
  <c r="F16" s="1"/>
  <c r="G16" s="1"/>
  <c r="H16" s="1"/>
  <c r="N25" i="50"/>
  <c r="L29" s="1"/>
  <c r="R28" i="51"/>
  <c r="E17" i="20" s="1"/>
  <c r="F17" s="1"/>
  <c r="G17" s="1"/>
  <c r="H17" s="1"/>
  <c r="L30" i="50"/>
  <c r="D15" i="20" s="1"/>
  <c r="E15" s="1"/>
  <c r="F15" l="1"/>
  <c r="E20"/>
  <c r="E19"/>
  <c r="I21" i="23"/>
  <c r="L21" i="40"/>
  <c r="L30"/>
  <c r="L35"/>
  <c r="K36"/>
  <c r="M36" s="1"/>
  <c r="O36" s="1"/>
  <c r="Q36" s="1"/>
  <c r="S36" s="1"/>
  <c r="K16"/>
  <c r="L16" s="1"/>
  <c r="K17"/>
  <c r="M17" s="1"/>
  <c r="O17" s="1"/>
  <c r="K18"/>
  <c r="L18" s="1"/>
  <c r="K19"/>
  <c r="K20"/>
  <c r="L20" s="1"/>
  <c r="K21"/>
  <c r="M21" s="1"/>
  <c r="O21" s="1"/>
  <c r="K22"/>
  <c r="L22" s="1"/>
  <c r="K23"/>
  <c r="L23" s="1"/>
  <c r="K24"/>
  <c r="L24" s="1"/>
  <c r="K28"/>
  <c r="L28" s="1"/>
  <c r="K29"/>
  <c r="M29" s="1"/>
  <c r="O29" s="1"/>
  <c r="K30"/>
  <c r="M30" s="1"/>
  <c r="N30" s="1"/>
  <c r="K31"/>
  <c r="L31" s="1"/>
  <c r="K32"/>
  <c r="L32" s="1"/>
  <c r="K33"/>
  <c r="M33" s="1"/>
  <c r="O33" s="1"/>
  <c r="K35"/>
  <c r="K14"/>
  <c r="L14" s="1"/>
  <c r="N90"/>
  <c r="O90"/>
  <c r="P90"/>
  <c r="Q90"/>
  <c r="N117"/>
  <c r="O117"/>
  <c r="P117"/>
  <c r="Q117"/>
  <c r="M117"/>
  <c r="K25" s="1"/>
  <c r="N125"/>
  <c r="O125"/>
  <c r="P125"/>
  <c r="Q125"/>
  <c r="M125"/>
  <c r="N120"/>
  <c r="O120"/>
  <c r="P120"/>
  <c r="Q120"/>
  <c r="M120"/>
  <c r="N119"/>
  <c r="O119"/>
  <c r="P119"/>
  <c r="Q119"/>
  <c r="M119"/>
  <c r="K27" s="1"/>
  <c r="N126"/>
  <c r="O126"/>
  <c r="P126"/>
  <c r="Q126"/>
  <c r="M126"/>
  <c r="K34" s="1"/>
  <c r="N111"/>
  <c r="O111"/>
  <c r="P111"/>
  <c r="Q111"/>
  <c r="M111"/>
  <c r="P118"/>
  <c r="Q118"/>
  <c r="N118"/>
  <c r="O118"/>
  <c r="M118"/>
  <c r="K26" s="1"/>
  <c r="M26" s="1"/>
  <c r="O26" s="1"/>
  <c r="Q26" s="1"/>
  <c r="S26" s="1"/>
  <c r="N107"/>
  <c r="O107"/>
  <c r="P107"/>
  <c r="Q107"/>
  <c r="M107"/>
  <c r="K15" s="1"/>
  <c r="R127"/>
  <c r="N106"/>
  <c r="O106"/>
  <c r="P106"/>
  <c r="Q106"/>
  <c r="M106"/>
  <c r="P100"/>
  <c r="P101" s="1"/>
  <c r="Q100"/>
  <c r="O100"/>
  <c r="M90"/>
  <c r="R73"/>
  <c r="R74"/>
  <c r="R75"/>
  <c r="R76"/>
  <c r="R77"/>
  <c r="R78"/>
  <c r="R79"/>
  <c r="R80"/>
  <c r="R81"/>
  <c r="R82"/>
  <c r="R83"/>
  <c r="R84"/>
  <c r="R85"/>
  <c r="R86"/>
  <c r="R87"/>
  <c r="R88"/>
  <c r="R89"/>
  <c r="R72"/>
  <c r="M22" l="1"/>
  <c r="M18"/>
  <c r="P29"/>
  <c r="Q29"/>
  <c r="M25"/>
  <c r="O25" s="1"/>
  <c r="L25"/>
  <c r="P21"/>
  <c r="Q21"/>
  <c r="R21" s="1"/>
  <c r="P17"/>
  <c r="Q17"/>
  <c r="R17" s="1"/>
  <c r="L15"/>
  <c r="M15"/>
  <c r="O15" s="1"/>
  <c r="L27"/>
  <c r="M27"/>
  <c r="O27" s="1"/>
  <c r="P33"/>
  <c r="Q33"/>
  <c r="R33" s="1"/>
  <c r="K37"/>
  <c r="L34"/>
  <c r="L29"/>
  <c r="M32"/>
  <c r="O32" s="1"/>
  <c r="M16"/>
  <c r="O16" s="1"/>
  <c r="N33"/>
  <c r="N22"/>
  <c r="N17"/>
  <c r="O30"/>
  <c r="P30" s="1"/>
  <c r="O18"/>
  <c r="L33"/>
  <c r="L17"/>
  <c r="M14"/>
  <c r="M31"/>
  <c r="O31" s="1"/>
  <c r="M20"/>
  <c r="O20" s="1"/>
  <c r="N32"/>
  <c r="N21"/>
  <c r="N16"/>
  <c r="N19"/>
  <c r="M35"/>
  <c r="O35" s="1"/>
  <c r="M24"/>
  <c r="O24" s="1"/>
  <c r="M19"/>
  <c r="O19" s="1"/>
  <c r="N14"/>
  <c r="O22"/>
  <c r="P22" s="1"/>
  <c r="N31"/>
  <c r="L19"/>
  <c r="M34"/>
  <c r="N34" s="1"/>
  <c r="M28"/>
  <c r="O28" s="1"/>
  <c r="M23"/>
  <c r="O23" s="1"/>
  <c r="N29"/>
  <c r="N24"/>
  <c r="N18"/>
  <c r="G15" i="20"/>
  <c r="F20"/>
  <c r="F19"/>
  <c r="R126" i="40"/>
  <c r="P128"/>
  <c r="Q101"/>
  <c r="N128"/>
  <c r="M128"/>
  <c r="R90"/>
  <c r="R120"/>
  <c r="R125"/>
  <c r="R117"/>
  <c r="R106"/>
  <c r="R111"/>
  <c r="R118"/>
  <c r="O101"/>
  <c r="O128"/>
  <c r="R119"/>
  <c r="Q128"/>
  <c r="R107"/>
  <c r="N100"/>
  <c r="N101" s="1"/>
  <c r="M100"/>
  <c r="M101" s="1"/>
  <c r="R100"/>
  <c r="D13" i="23"/>
  <c r="E13"/>
  <c r="F13"/>
  <c r="G13"/>
  <c r="G22" i="42"/>
  <c r="I17" i="23" s="1"/>
  <c r="H22" i="42"/>
  <c r="J17" i="23" s="1"/>
  <c r="I22" i="42"/>
  <c r="K17" i="23" s="1"/>
  <c r="J22" i="42"/>
  <c r="L17" i="23" s="1"/>
  <c r="F22" i="42"/>
  <c r="H17" i="23" s="1"/>
  <c r="P23" i="40" l="1"/>
  <c r="Q23"/>
  <c r="P28"/>
  <c r="Q28"/>
  <c r="R28" s="1"/>
  <c r="P19"/>
  <c r="Q19"/>
  <c r="R19" s="1"/>
  <c r="N23"/>
  <c r="P20"/>
  <c r="Q20"/>
  <c r="R20" s="1"/>
  <c r="P16"/>
  <c r="Q16"/>
  <c r="R16" s="1"/>
  <c r="P27"/>
  <c r="Q27"/>
  <c r="O34"/>
  <c r="P34" s="1"/>
  <c r="P24"/>
  <c r="Q24"/>
  <c r="R24"/>
  <c r="P31"/>
  <c r="R31"/>
  <c r="Q31"/>
  <c r="N15"/>
  <c r="N25"/>
  <c r="S29"/>
  <c r="T29" s="1"/>
  <c r="Q22"/>
  <c r="R22" s="1"/>
  <c r="N20"/>
  <c r="P35"/>
  <c r="Q35"/>
  <c r="R35" s="1"/>
  <c r="M37"/>
  <c r="O14"/>
  <c r="Q18"/>
  <c r="R18" s="1"/>
  <c r="N28"/>
  <c r="P32"/>
  <c r="Q32"/>
  <c r="R32" s="1"/>
  <c r="N35"/>
  <c r="P18"/>
  <c r="N27"/>
  <c r="S21"/>
  <c r="T21"/>
  <c r="R29"/>
  <c r="Q30"/>
  <c r="R30" s="1"/>
  <c r="S33"/>
  <c r="T33" s="1"/>
  <c r="P15"/>
  <c r="Q15"/>
  <c r="R15" s="1"/>
  <c r="S17"/>
  <c r="T17" s="1"/>
  <c r="P25"/>
  <c r="Q25"/>
  <c r="R25" s="1"/>
  <c r="G20" i="20"/>
  <c r="H15"/>
  <c r="H20" s="1"/>
  <c r="G19"/>
  <c r="H19"/>
  <c r="R101" i="40"/>
  <c r="R128"/>
  <c r="D27" i="4"/>
  <c r="E27" s="1"/>
  <c r="F27" s="1"/>
  <c r="G27" s="1"/>
  <c r="H27" s="1"/>
  <c r="D19"/>
  <c r="D14" i="20" s="1"/>
  <c r="D24" i="4"/>
  <c r="E24" s="1"/>
  <c r="F24" s="1"/>
  <c r="G24" s="1"/>
  <c r="H24" s="1"/>
  <c r="D25"/>
  <c r="E25" s="1"/>
  <c r="F25" s="1"/>
  <c r="G25" s="1"/>
  <c r="H25" s="1"/>
  <c r="D18"/>
  <c r="D16"/>
  <c r="E16" s="1"/>
  <c r="D15"/>
  <c r="E15" s="1"/>
  <c r="F15" s="1"/>
  <c r="G15" s="1"/>
  <c r="H15" s="1"/>
  <c r="D14"/>
  <c r="F25" i="42" s="1"/>
  <c r="H17" i="4"/>
  <c r="G17"/>
  <c r="D17"/>
  <c r="D29"/>
  <c r="G25" i="17" s="1"/>
  <c r="C12" i="54" l="1"/>
  <c r="C14" s="1"/>
  <c r="C16" s="1"/>
  <c r="C29" i="55" s="1"/>
  <c r="D13" i="20"/>
  <c r="G13"/>
  <c r="H13"/>
  <c r="E14" i="4"/>
  <c r="S30" i="40"/>
  <c r="T30" s="1"/>
  <c r="S18"/>
  <c r="T18" s="1"/>
  <c r="S35"/>
  <c r="T35" s="1"/>
  <c r="S22"/>
  <c r="T22" s="1"/>
  <c r="S31"/>
  <c r="T31"/>
  <c r="S24"/>
  <c r="T24" s="1"/>
  <c r="S27"/>
  <c r="T27"/>
  <c r="S16"/>
  <c r="T16" s="1"/>
  <c r="S23"/>
  <c r="T23"/>
  <c r="E29" i="4"/>
  <c r="F16"/>
  <c r="D12" i="54"/>
  <c r="D14" s="1"/>
  <c r="D16" s="1"/>
  <c r="D29" i="55" s="1"/>
  <c r="E18" i="4"/>
  <c r="D12" i="20"/>
  <c r="S32" i="40"/>
  <c r="T32" s="1"/>
  <c r="R27"/>
  <c r="R23"/>
  <c r="S25"/>
  <c r="T25" s="1"/>
  <c r="O37"/>
  <c r="Q14"/>
  <c r="R14" s="1"/>
  <c r="P14"/>
  <c r="Q34"/>
  <c r="R34" s="1"/>
  <c r="S19"/>
  <c r="T19" s="1"/>
  <c r="T28"/>
  <c r="S28"/>
  <c r="S15"/>
  <c r="T15" s="1"/>
  <c r="M38"/>
  <c r="M48"/>
  <c r="S20"/>
  <c r="T20" s="1"/>
  <c r="E71" i="44"/>
  <c r="D71"/>
  <c r="F48"/>
  <c r="E48"/>
  <c r="D48"/>
  <c r="D49" s="1"/>
  <c r="E74"/>
  <c r="D74"/>
  <c r="E69"/>
  <c r="D69"/>
  <c r="F69"/>
  <c r="E30"/>
  <c r="D30"/>
  <c r="D25"/>
  <c r="D26" s="1"/>
  <c r="D16"/>
  <c r="D17" s="1"/>
  <c r="D18" s="1"/>
  <c r="D27" s="1"/>
  <c r="E17"/>
  <c r="E18" s="1"/>
  <c r="E27" s="1"/>
  <c r="F17"/>
  <c r="F18" s="1"/>
  <c r="F27" s="1"/>
  <c r="F25"/>
  <c r="F26" s="1"/>
  <c r="E25"/>
  <c r="E26" s="1"/>
  <c r="S34" i="40" l="1"/>
  <c r="T34" s="1"/>
  <c r="O38"/>
  <c r="N48"/>
  <c r="G16" i="4"/>
  <c r="E12" i="54"/>
  <c r="E14" s="1"/>
  <c r="E16" s="1"/>
  <c r="E29" i="55" s="1"/>
  <c r="F14" i="4"/>
  <c r="G25" i="42"/>
  <c r="H25" i="17"/>
  <c r="F29" i="4"/>
  <c r="S14" i="40"/>
  <c r="S37" s="1"/>
  <c r="Q37"/>
  <c r="Q38" s="1"/>
  <c r="F18" i="4"/>
  <c r="E12" i="20"/>
  <c r="E21" s="1"/>
  <c r="E22" s="1"/>
  <c r="E23" s="1"/>
  <c r="D81" i="44"/>
  <c r="D72"/>
  <c r="D75"/>
  <c r="D28"/>
  <c r="F28"/>
  <c r="D31"/>
  <c r="E28"/>
  <c r="F49"/>
  <c r="F51" s="1"/>
  <c r="E49"/>
  <c r="E51" s="1"/>
  <c r="E58"/>
  <c r="F58" s="1"/>
  <c r="E53"/>
  <c r="D53"/>
  <c r="D50"/>
  <c r="T14" i="40" l="1"/>
  <c r="S38"/>
  <c r="G18" i="4"/>
  <c r="F12" i="20"/>
  <c r="F21" s="1"/>
  <c r="F22" s="1"/>
  <c r="F23" s="1"/>
  <c r="I25" i="17"/>
  <c r="G29" i="4"/>
  <c r="H16"/>
  <c r="G12" i="54" s="1"/>
  <c r="G14" s="1"/>
  <c r="G16" s="1"/>
  <c r="G29" i="55" s="1"/>
  <c r="F12" i="54"/>
  <c r="F14" s="1"/>
  <c r="F16" s="1"/>
  <c r="F29" i="55" s="1"/>
  <c r="I28" i="2"/>
  <c r="H15" i="17" s="1"/>
  <c r="E24" i="20"/>
  <c r="G14" i="4"/>
  <c r="H25" i="42"/>
  <c r="D76" i="44"/>
  <c r="D37"/>
  <c r="D39" s="1"/>
  <c r="F38"/>
  <c r="D38"/>
  <c r="G38"/>
  <c r="E38"/>
  <c r="H38"/>
  <c r="D51"/>
  <c r="D59" s="1"/>
  <c r="E59" s="1"/>
  <c r="D54"/>
  <c r="G58"/>
  <c r="B6"/>
  <c r="B8" i="5"/>
  <c r="P67" i="35"/>
  <c r="P65"/>
  <c r="P64"/>
  <c r="P63"/>
  <c r="P61"/>
  <c r="P60"/>
  <c r="P59"/>
  <c r="P58"/>
  <c r="P57"/>
  <c r="P56"/>
  <c r="P55"/>
  <c r="P54"/>
  <c r="P53"/>
  <c r="P52"/>
  <c r="P51"/>
  <c r="P49"/>
  <c r="P48"/>
  <c r="P47"/>
  <c r="P46"/>
  <c r="P45"/>
  <c r="P44"/>
  <c r="P43"/>
  <c r="P42"/>
  <c r="P41"/>
  <c r="P40"/>
  <c r="P39"/>
  <c r="P38"/>
  <c r="P37"/>
  <c r="P36"/>
  <c r="P35"/>
  <c r="P34"/>
  <c r="P33"/>
  <c r="P32"/>
  <c r="P30"/>
  <c r="P22"/>
  <c r="O50"/>
  <c r="O62"/>
  <c r="P62" s="1"/>
  <c r="O66"/>
  <c r="M67"/>
  <c r="M65"/>
  <c r="M64"/>
  <c r="M63"/>
  <c r="M61"/>
  <c r="M60"/>
  <c r="M59"/>
  <c r="M58"/>
  <c r="M57"/>
  <c r="M56"/>
  <c r="M55"/>
  <c r="M54"/>
  <c r="M53"/>
  <c r="M52"/>
  <c r="M51"/>
  <c r="M49"/>
  <c r="M48"/>
  <c r="M47"/>
  <c r="M46"/>
  <c r="M45"/>
  <c r="M44"/>
  <c r="M43"/>
  <c r="M42"/>
  <c r="M41"/>
  <c r="M40"/>
  <c r="M39"/>
  <c r="M38"/>
  <c r="M37"/>
  <c r="M36"/>
  <c r="M35"/>
  <c r="M34"/>
  <c r="M33"/>
  <c r="M32"/>
  <c r="M30"/>
  <c r="M22"/>
  <c r="L50"/>
  <c r="L66"/>
  <c r="L62"/>
  <c r="M62" s="1"/>
  <c r="J65"/>
  <c r="J64"/>
  <c r="J61"/>
  <c r="J60"/>
  <c r="J59"/>
  <c r="J58"/>
  <c r="J57"/>
  <c r="J56"/>
  <c r="J55"/>
  <c r="J54"/>
  <c r="J53"/>
  <c r="J52"/>
  <c r="J49"/>
  <c r="J48"/>
  <c r="J47"/>
  <c r="J46"/>
  <c r="J45"/>
  <c r="J44"/>
  <c r="J43"/>
  <c r="J42"/>
  <c r="J41"/>
  <c r="J40"/>
  <c r="J39"/>
  <c r="J38"/>
  <c r="J37"/>
  <c r="J36"/>
  <c r="J35"/>
  <c r="J34"/>
  <c r="J33"/>
  <c r="J32"/>
  <c r="J30"/>
  <c r="J22"/>
  <c r="I66"/>
  <c r="I62"/>
  <c r="J62" s="1"/>
  <c r="I50"/>
  <c r="G49"/>
  <c r="G48"/>
  <c r="G47"/>
  <c r="G46"/>
  <c r="G45"/>
  <c r="G44"/>
  <c r="G42"/>
  <c r="G41"/>
  <c r="G40"/>
  <c r="G39"/>
  <c r="G38"/>
  <c r="G37"/>
  <c r="G36"/>
  <c r="G35"/>
  <c r="G34"/>
  <c r="G33"/>
  <c r="G32"/>
  <c r="G22"/>
  <c r="E70"/>
  <c r="F70" s="1"/>
  <c r="I64" i="47"/>
  <c r="G64"/>
  <c r="L66" s="1"/>
  <c r="E64"/>
  <c r="D64"/>
  <c r="C64"/>
  <c r="H63"/>
  <c r="F63"/>
  <c r="H62"/>
  <c r="F62"/>
  <c r="J62" s="1"/>
  <c r="H61"/>
  <c r="J61" s="1"/>
  <c r="F61"/>
  <c r="H60"/>
  <c r="F60"/>
  <c r="J60" s="1"/>
  <c r="H59"/>
  <c r="F59"/>
  <c r="H58"/>
  <c r="F58"/>
  <c r="J58" s="1"/>
  <c r="H57"/>
  <c r="F57"/>
  <c r="H56"/>
  <c r="F56"/>
  <c r="J56" s="1"/>
  <c r="H55"/>
  <c r="F55"/>
  <c r="J55" s="1"/>
  <c r="H54"/>
  <c r="F54"/>
  <c r="J54" s="1"/>
  <c r="I52"/>
  <c r="G52"/>
  <c r="E52"/>
  <c r="D52"/>
  <c r="D65" s="1"/>
  <c r="H51"/>
  <c r="F51"/>
  <c r="H50"/>
  <c r="F50"/>
  <c r="H49"/>
  <c r="F49"/>
  <c r="H48"/>
  <c r="F48"/>
  <c r="H47"/>
  <c r="F47"/>
  <c r="J47" s="1"/>
  <c r="H46"/>
  <c r="F46"/>
  <c r="J46" s="1"/>
  <c r="H45"/>
  <c r="F45"/>
  <c r="J45" s="1"/>
  <c r="H44"/>
  <c r="F44"/>
  <c r="H43"/>
  <c r="F43"/>
  <c r="J43" s="1"/>
  <c r="H42"/>
  <c r="F42"/>
  <c r="H41"/>
  <c r="F41"/>
  <c r="J41" s="1"/>
  <c r="H40"/>
  <c r="F40"/>
  <c r="H39"/>
  <c r="F39"/>
  <c r="J39" s="1"/>
  <c r="C39"/>
  <c r="C52" s="1"/>
  <c r="H38"/>
  <c r="F38"/>
  <c r="J38" s="1"/>
  <c r="H37"/>
  <c r="F37"/>
  <c r="H36"/>
  <c r="F36"/>
  <c r="J36" s="1"/>
  <c r="H35"/>
  <c r="F35"/>
  <c r="H34"/>
  <c r="F34"/>
  <c r="J34" s="1"/>
  <c r="H33"/>
  <c r="F33"/>
  <c r="H32"/>
  <c r="F32"/>
  <c r="J32" s="1"/>
  <c r="H31"/>
  <c r="F31"/>
  <c r="H29"/>
  <c r="F29"/>
  <c r="C28"/>
  <c r="C29" s="1"/>
  <c r="H21"/>
  <c r="F21"/>
  <c r="C18"/>
  <c r="C21" s="1"/>
  <c r="J21" s="1"/>
  <c r="J33" l="1"/>
  <c r="G65"/>
  <c r="H29" i="4"/>
  <c r="K25" i="17" s="1"/>
  <c r="J25"/>
  <c r="J29" i="47"/>
  <c r="H52"/>
  <c r="J35"/>
  <c r="J37"/>
  <c r="J40"/>
  <c r="J50"/>
  <c r="J57"/>
  <c r="J59"/>
  <c r="J63"/>
  <c r="E65"/>
  <c r="H14" i="4"/>
  <c r="J25" i="42" s="1"/>
  <c r="I25"/>
  <c r="I30" i="2"/>
  <c r="G14" i="52"/>
  <c r="G15" s="1"/>
  <c r="G16" s="1"/>
  <c r="D25" i="55" s="1"/>
  <c r="D27" s="1"/>
  <c r="J28" i="2"/>
  <c r="I15" i="17" s="1"/>
  <c r="F24" i="20"/>
  <c r="H22" i="17"/>
  <c r="I47" i="2"/>
  <c r="H18" i="4"/>
  <c r="H12" i="20" s="1"/>
  <c r="H21" s="1"/>
  <c r="H22" s="1"/>
  <c r="H23" s="1"/>
  <c r="G12"/>
  <c r="G21" s="1"/>
  <c r="G22" s="1"/>
  <c r="G23" s="1"/>
  <c r="H82" i="44"/>
  <c r="D82"/>
  <c r="F82"/>
  <c r="E82"/>
  <c r="G82"/>
  <c r="E37"/>
  <c r="D40"/>
  <c r="D91" s="1"/>
  <c r="E39"/>
  <c r="E40" s="1"/>
  <c r="E91" s="1"/>
  <c r="D60"/>
  <c r="D61" s="1"/>
  <c r="D90" s="1"/>
  <c r="F60"/>
  <c r="G60"/>
  <c r="E60"/>
  <c r="E61" s="1"/>
  <c r="E90" s="1"/>
  <c r="H60"/>
  <c r="F59"/>
  <c r="H58"/>
  <c r="F37"/>
  <c r="J31" i="47"/>
  <c r="J44"/>
  <c r="J48"/>
  <c r="J64"/>
  <c r="I65"/>
  <c r="I77" s="1"/>
  <c r="F52"/>
  <c r="J42"/>
  <c r="J49"/>
  <c r="H64"/>
  <c r="H65" s="1"/>
  <c r="O68" i="35"/>
  <c r="L68"/>
  <c r="I68"/>
  <c r="F64" i="47"/>
  <c r="C65"/>
  <c r="I37" i="40"/>
  <c r="K38" l="1"/>
  <c r="L48"/>
  <c r="K28" i="2"/>
  <c r="J15" i="17" s="1"/>
  <c r="G24" i="20"/>
  <c r="H14" i="52"/>
  <c r="H15" s="1"/>
  <c r="H16" s="1"/>
  <c r="E25" i="55" s="1"/>
  <c r="E27" s="1"/>
  <c r="J30" i="2"/>
  <c r="L28"/>
  <c r="K15" i="17" s="1"/>
  <c r="H24" i="20"/>
  <c r="J47" i="2"/>
  <c r="I22" i="17"/>
  <c r="J52" i="47"/>
  <c r="J65" s="1"/>
  <c r="F65"/>
  <c r="I49" i="2"/>
  <c r="I29"/>
  <c r="H16" i="17" s="1"/>
  <c r="H23" s="1"/>
  <c r="F39" i="44"/>
  <c r="F40" s="1"/>
  <c r="F91" s="1"/>
  <c r="G59"/>
  <c r="F61"/>
  <c r="F90" s="1"/>
  <c r="G37"/>
  <c r="E52" i="2"/>
  <c r="E54"/>
  <c r="K22" i="17" l="1"/>
  <c r="L47" i="2"/>
  <c r="K47"/>
  <c r="J22" i="17"/>
  <c r="L30" i="2"/>
  <c r="J14" i="52"/>
  <c r="J15" s="1"/>
  <c r="J16" s="1"/>
  <c r="G25" i="55" s="1"/>
  <c r="G27" s="1"/>
  <c r="J29" i="2"/>
  <c r="I16" i="17" s="1"/>
  <c r="I23" s="1"/>
  <c r="J49" i="2"/>
  <c r="K30"/>
  <c r="I14" i="52"/>
  <c r="I15" s="1"/>
  <c r="I16" s="1"/>
  <c r="F25" i="55" s="1"/>
  <c r="F27" s="1"/>
  <c r="D83" i="44"/>
  <c r="D84" s="1"/>
  <c r="D92" s="1"/>
  <c r="D93" s="1"/>
  <c r="E81"/>
  <c r="E83" s="1"/>
  <c r="G39"/>
  <c r="G40" s="1"/>
  <c r="G91" s="1"/>
  <c r="H59"/>
  <c r="H61" s="1"/>
  <c r="H90" s="1"/>
  <c r="G61"/>
  <c r="G90" s="1"/>
  <c r="H37"/>
  <c r="B21" i="45"/>
  <c r="F20" i="46"/>
  <c r="G17" s="1"/>
  <c r="B49"/>
  <c r="C10"/>
  <c r="C17"/>
  <c r="B20" s="1"/>
  <c r="A19"/>
  <c r="A18"/>
  <c r="A17"/>
  <c r="K29" i="2" l="1"/>
  <c r="J16" i="17" s="1"/>
  <c r="J23" s="1"/>
  <c r="K49" i="2"/>
  <c r="H22"/>
  <c r="D20" i="4"/>
  <c r="L29" i="2"/>
  <c r="K16" i="17" s="1"/>
  <c r="K23" s="1"/>
  <c r="L49" i="2"/>
  <c r="F81" i="44"/>
  <c r="G81" s="1"/>
  <c r="E84"/>
  <c r="E92" s="1"/>
  <c r="E93" s="1"/>
  <c r="F83"/>
  <c r="F84" s="1"/>
  <c r="F92" s="1"/>
  <c r="F93" s="1"/>
  <c r="H39"/>
  <c r="H40" s="1"/>
  <c r="H91" s="1"/>
  <c r="J22" i="2" l="1"/>
  <c r="F20" i="4"/>
  <c r="I22" i="2"/>
  <c r="E20" i="4"/>
  <c r="G18" i="17"/>
  <c r="G17" s="1"/>
  <c r="C19" i="55"/>
  <c r="H81" i="44"/>
  <c r="H83" s="1"/>
  <c r="H84" s="1"/>
  <c r="H92" s="1"/>
  <c r="H93" s="1"/>
  <c r="G83"/>
  <c r="G84" s="1"/>
  <c r="G92" s="1"/>
  <c r="G93" s="1"/>
  <c r="A8" i="5"/>
  <c r="B6"/>
  <c r="A6"/>
  <c r="B29" i="30"/>
  <c r="C29"/>
  <c r="C30"/>
  <c r="B30"/>
  <c r="B7" i="44"/>
  <c r="L22" i="2" l="1"/>
  <c r="H20" i="4"/>
  <c r="H18" i="17"/>
  <c r="H17" s="1"/>
  <c r="D19" i="55"/>
  <c r="E19"/>
  <c r="I18" i="17"/>
  <c r="I17" s="1"/>
  <c r="K22" i="2"/>
  <c r="G20" i="4"/>
  <c r="D17" i="17"/>
  <c r="F17"/>
  <c r="D22" i="2"/>
  <c r="C17" i="17"/>
  <c r="E17"/>
  <c r="J18" l="1"/>
  <c r="J17" s="1"/>
  <c r="F19" i="55"/>
  <c r="G19"/>
  <c r="K18" i="17"/>
  <c r="K17" s="1"/>
  <c r="F22" i="2"/>
  <c r="G22"/>
  <c r="E22"/>
  <c r="C10" i="42"/>
  <c r="C10" i="41" s="1"/>
  <c r="D10" i="42"/>
  <c r="D10" i="41" s="1"/>
  <c r="E10" i="42"/>
  <c r="E10" i="41" s="1"/>
  <c r="B10" i="42"/>
  <c r="B10" i="41" s="1"/>
  <c r="E11" i="23"/>
  <c r="F11"/>
  <c r="G11"/>
  <c r="D11"/>
  <c r="F37" i="17"/>
  <c r="G47" i="2" s="1"/>
  <c r="E37" i="17"/>
  <c r="F47" i="2" s="1"/>
  <c r="F18" i="41"/>
  <c r="G18" s="1"/>
  <c r="H18" s="1"/>
  <c r="I18" s="1"/>
  <c r="J18" s="1"/>
  <c r="D18"/>
  <c r="C18"/>
  <c r="B18"/>
  <c r="C25" i="42"/>
  <c r="D25"/>
  <c r="E25"/>
  <c r="B25"/>
  <c r="B22"/>
  <c r="D17" i="23" s="1"/>
  <c r="F7" i="42"/>
  <c r="H8" i="23" s="1"/>
  <c r="F6" i="42"/>
  <c r="H7" i="23" s="1"/>
  <c r="B7" i="41"/>
  <c r="B6"/>
  <c r="F31" i="24" l="1"/>
  <c r="F30"/>
  <c r="E31"/>
  <c r="E30"/>
  <c r="D33"/>
  <c r="D31"/>
  <c r="D30"/>
  <c r="D22"/>
  <c r="E22" s="1"/>
  <c r="D16"/>
  <c r="D32" l="1"/>
  <c r="E32" s="1"/>
  <c r="E12"/>
  <c r="F26" i="46" s="1"/>
  <c r="E8" i="24"/>
  <c r="E7"/>
  <c r="J35" i="40"/>
  <c r="H35"/>
  <c r="F35"/>
  <c r="E50" i="39"/>
  <c r="G50"/>
  <c r="F45" i="27"/>
  <c r="H45"/>
  <c r="G27" i="46" l="1"/>
  <c r="F27"/>
  <c r="F24"/>
  <c r="E16" i="24"/>
  <c r="F12" s="1"/>
  <c r="F16" s="1"/>
  <c r="G12" s="1"/>
  <c r="G16" s="1"/>
  <c r="B22" i="5" s="1"/>
  <c r="B13"/>
  <c r="B18" s="1"/>
  <c r="D34" i="24"/>
  <c r="J15" i="40"/>
  <c r="J14"/>
  <c r="H15"/>
  <c r="H16"/>
  <c r="H17"/>
  <c r="H18"/>
  <c r="H19"/>
  <c r="H20"/>
  <c r="H21"/>
  <c r="H22"/>
  <c r="H23"/>
  <c r="H24"/>
  <c r="H25"/>
  <c r="H27"/>
  <c r="H28"/>
  <c r="H29"/>
  <c r="H30"/>
  <c r="H31"/>
  <c r="H32"/>
  <c r="H33"/>
  <c r="H34"/>
  <c r="H14"/>
  <c r="F15"/>
  <c r="F16"/>
  <c r="F17"/>
  <c r="F18"/>
  <c r="F19"/>
  <c r="F20"/>
  <c r="F21"/>
  <c r="F22"/>
  <c r="F23"/>
  <c r="F24"/>
  <c r="F25"/>
  <c r="F27"/>
  <c r="F28"/>
  <c r="F29"/>
  <c r="F30"/>
  <c r="F31"/>
  <c r="F32"/>
  <c r="F33"/>
  <c r="F34"/>
  <c r="F14"/>
  <c r="E37"/>
  <c r="G37"/>
  <c r="I38" s="1"/>
  <c r="D37"/>
  <c r="S52"/>
  <c r="S53"/>
  <c r="S51"/>
  <c r="L56"/>
  <c r="S56" s="1"/>
  <c r="O53"/>
  <c r="O51"/>
  <c r="O52"/>
  <c r="C26"/>
  <c r="H26" l="1"/>
  <c r="T26"/>
  <c r="T36" s="1"/>
  <c r="T37" s="1"/>
  <c r="T38" s="1"/>
  <c r="J17" i="41" s="1"/>
  <c r="P26" i="40"/>
  <c r="P36" s="1"/>
  <c r="P37" s="1"/>
  <c r="P38" s="1"/>
  <c r="H17" i="41" s="1"/>
  <c r="R26" i="40"/>
  <c r="L26"/>
  <c r="N26"/>
  <c r="N36" s="1"/>
  <c r="N37" s="1"/>
  <c r="N38" s="1"/>
  <c r="G17" i="41" s="1"/>
  <c r="Q51" i="40"/>
  <c r="H36"/>
  <c r="H37" s="1"/>
  <c r="F26"/>
  <c r="G38"/>
  <c r="D38"/>
  <c r="S59"/>
  <c r="S60" s="1"/>
  <c r="L36" l="1"/>
  <c r="L37" s="1"/>
  <c r="L38" s="1"/>
  <c r="F17" i="41" s="1"/>
  <c r="R36" i="40"/>
  <c r="R37" s="1"/>
  <c r="R38" s="1"/>
  <c r="I17" i="41" s="1"/>
  <c r="F36" i="40"/>
  <c r="F37" s="1"/>
  <c r="F38" s="1"/>
  <c r="C17" i="41" s="1"/>
  <c r="B17" s="1"/>
  <c r="H38" i="40"/>
  <c r="D17" i="41" s="1"/>
  <c r="J18" i="40"/>
  <c r="J19"/>
  <c r="J20"/>
  <c r="J21"/>
  <c r="J22"/>
  <c r="J23"/>
  <c r="J25"/>
  <c r="J26"/>
  <c r="J27"/>
  <c r="J28"/>
  <c r="J29"/>
  <c r="J30"/>
  <c r="J31"/>
  <c r="J32"/>
  <c r="J33"/>
  <c r="J34"/>
  <c r="J17"/>
  <c r="J16"/>
  <c r="H45" i="39" l="1"/>
  <c r="H50"/>
  <c r="H51"/>
  <c r="G63"/>
  <c r="G62"/>
  <c r="G61"/>
  <c r="G60"/>
  <c r="H60" s="1"/>
  <c r="G59"/>
  <c r="H59" s="1"/>
  <c r="G58"/>
  <c r="G57"/>
  <c r="G56"/>
  <c r="H56" s="1"/>
  <c r="G55"/>
  <c r="H55" s="1"/>
  <c r="G54"/>
  <c r="G49"/>
  <c r="G48"/>
  <c r="G47"/>
  <c r="H47" s="1"/>
  <c r="G46"/>
  <c r="H46" s="1"/>
  <c r="G44"/>
  <c r="H44" s="1"/>
  <c r="G43"/>
  <c r="G42"/>
  <c r="G41"/>
  <c r="G40"/>
  <c r="H40" s="1"/>
  <c r="G39"/>
  <c r="H39" s="1"/>
  <c r="G38"/>
  <c r="G37"/>
  <c r="G36"/>
  <c r="H36" s="1"/>
  <c r="G35"/>
  <c r="H35" s="1"/>
  <c r="G34"/>
  <c r="G33"/>
  <c r="G32"/>
  <c r="H32" s="1"/>
  <c r="G31"/>
  <c r="G29"/>
  <c r="H29" s="1"/>
  <c r="G21"/>
  <c r="H21" s="1"/>
  <c r="D55"/>
  <c r="D56"/>
  <c r="E56" s="1"/>
  <c r="D57"/>
  <c r="E57" s="1"/>
  <c r="D58"/>
  <c r="E58" s="1"/>
  <c r="D59"/>
  <c r="E59" s="1"/>
  <c r="D60"/>
  <c r="E60" s="1"/>
  <c r="D61"/>
  <c r="E61" s="1"/>
  <c r="D62"/>
  <c r="E62" s="1"/>
  <c r="D63"/>
  <c r="E63" s="1"/>
  <c r="D54"/>
  <c r="E54" s="1"/>
  <c r="D47"/>
  <c r="E47" s="1"/>
  <c r="D48"/>
  <c r="E48" s="1"/>
  <c r="D49"/>
  <c r="E49" s="1"/>
  <c r="D46"/>
  <c r="E46" s="1"/>
  <c r="D32"/>
  <c r="E32" s="1"/>
  <c r="D33"/>
  <c r="E33" s="1"/>
  <c r="D34"/>
  <c r="E34" s="1"/>
  <c r="D35"/>
  <c r="E35" s="1"/>
  <c r="D36"/>
  <c r="E36" s="1"/>
  <c r="D37"/>
  <c r="E37" s="1"/>
  <c r="D38"/>
  <c r="E38" s="1"/>
  <c r="D39"/>
  <c r="E39" s="1"/>
  <c r="D40"/>
  <c r="E40" s="1"/>
  <c r="D41"/>
  <c r="E41" s="1"/>
  <c r="D42"/>
  <c r="E42" s="1"/>
  <c r="D43"/>
  <c r="E43" s="1"/>
  <c r="D44"/>
  <c r="E44" s="1"/>
  <c r="D31"/>
  <c r="E31" s="1"/>
  <c r="D29"/>
  <c r="E29" s="1"/>
  <c r="D21"/>
  <c r="E21" s="1"/>
  <c r="F64"/>
  <c r="C64"/>
  <c r="J78" s="1"/>
  <c r="F52"/>
  <c r="C52"/>
  <c r="J24" i="40" l="1"/>
  <c r="G52" i="39"/>
  <c r="D52"/>
  <c r="H42"/>
  <c r="H38"/>
  <c r="H34"/>
  <c r="H57"/>
  <c r="H61"/>
  <c r="H49"/>
  <c r="H41"/>
  <c r="H37"/>
  <c r="H33"/>
  <c r="H58"/>
  <c r="H62"/>
  <c r="H31"/>
  <c r="H48"/>
  <c r="H63"/>
  <c r="E52"/>
  <c r="H43"/>
  <c r="G64"/>
  <c r="H54"/>
  <c r="F65"/>
  <c r="C65"/>
  <c r="D64"/>
  <c r="E55"/>
  <c r="E64" s="1"/>
  <c r="H55" i="27"/>
  <c r="H56"/>
  <c r="H57"/>
  <c r="H58"/>
  <c r="H59"/>
  <c r="H60"/>
  <c r="H61"/>
  <c r="H62"/>
  <c r="H63"/>
  <c r="H54"/>
  <c r="H32"/>
  <c r="H33"/>
  <c r="H34"/>
  <c r="H35"/>
  <c r="H36"/>
  <c r="H37"/>
  <c r="H38"/>
  <c r="H39"/>
  <c r="H40"/>
  <c r="H41"/>
  <c r="H42"/>
  <c r="H43"/>
  <c r="H44"/>
  <c r="H46"/>
  <c r="H47"/>
  <c r="H48"/>
  <c r="H49"/>
  <c r="H50"/>
  <c r="H51"/>
  <c r="H31"/>
  <c r="H29"/>
  <c r="H21"/>
  <c r="G64"/>
  <c r="I81" s="1"/>
  <c r="I64"/>
  <c r="G52"/>
  <c r="I52"/>
  <c r="F55"/>
  <c r="F56"/>
  <c r="J56" s="1"/>
  <c r="K56" s="1"/>
  <c r="F57"/>
  <c r="F58"/>
  <c r="J58" s="1"/>
  <c r="K58" s="1"/>
  <c r="F59"/>
  <c r="J59" s="1"/>
  <c r="K59" s="1"/>
  <c r="F60"/>
  <c r="J60" s="1"/>
  <c r="K60" s="1"/>
  <c r="F61"/>
  <c r="F62"/>
  <c r="J62" s="1"/>
  <c r="K62" s="1"/>
  <c r="F63"/>
  <c r="J63" s="1"/>
  <c r="K63" s="1"/>
  <c r="F54"/>
  <c r="F32"/>
  <c r="F33"/>
  <c r="J33" s="1"/>
  <c r="K33" s="1"/>
  <c r="F34"/>
  <c r="J34" s="1"/>
  <c r="K34" s="1"/>
  <c r="F35"/>
  <c r="J35" s="1"/>
  <c r="K35" s="1"/>
  <c r="F36"/>
  <c r="F37"/>
  <c r="J37" s="1"/>
  <c r="K37" s="1"/>
  <c r="F38"/>
  <c r="J38" s="1"/>
  <c r="K38" s="1"/>
  <c r="F39"/>
  <c r="F40"/>
  <c r="F41"/>
  <c r="J41" s="1"/>
  <c r="K41" s="1"/>
  <c r="F42"/>
  <c r="F43"/>
  <c r="J43" s="1"/>
  <c r="K43" s="1"/>
  <c r="F44"/>
  <c r="J45"/>
  <c r="K45" s="1"/>
  <c r="F46"/>
  <c r="F47"/>
  <c r="J47" s="1"/>
  <c r="K47" s="1"/>
  <c r="F48"/>
  <c r="F49"/>
  <c r="F50"/>
  <c r="J50" s="1"/>
  <c r="K50" s="1"/>
  <c r="F51"/>
  <c r="F31"/>
  <c r="F29"/>
  <c r="F21"/>
  <c r="J36" i="40" l="1"/>
  <c r="J37" s="1"/>
  <c r="J38" s="1"/>
  <c r="G65" i="39"/>
  <c r="D65"/>
  <c r="J54" i="27"/>
  <c r="K54" s="1"/>
  <c r="J42"/>
  <c r="K42" s="1"/>
  <c r="J49"/>
  <c r="K49" s="1"/>
  <c r="H64" i="39"/>
  <c r="E65"/>
  <c r="E23" i="24" s="1"/>
  <c r="F22" s="1"/>
  <c r="H52" i="39"/>
  <c r="J46" i="27"/>
  <c r="K46" s="1"/>
  <c r="J55"/>
  <c r="K55" s="1"/>
  <c r="H64"/>
  <c r="I65"/>
  <c r="F52"/>
  <c r="J48"/>
  <c r="K48" s="1"/>
  <c r="J44"/>
  <c r="K44" s="1"/>
  <c r="J40"/>
  <c r="K40" s="1"/>
  <c r="J36"/>
  <c r="K36" s="1"/>
  <c r="J32"/>
  <c r="K32" s="1"/>
  <c r="J61"/>
  <c r="K61" s="1"/>
  <c r="J57"/>
  <c r="K57" s="1"/>
  <c r="F64"/>
  <c r="H52"/>
  <c r="J31"/>
  <c r="K31" s="1"/>
  <c r="G65"/>
  <c r="E28" i="24" s="1"/>
  <c r="F28" l="1"/>
  <c r="C16" i="42"/>
  <c r="E33" i="24"/>
  <c r="B36" i="30"/>
  <c r="B35" s="1"/>
  <c r="B25"/>
  <c r="B24" s="1"/>
  <c r="I77" i="27"/>
  <c r="H65" i="39"/>
  <c r="F23" i="24" s="1"/>
  <c r="G23" s="1"/>
  <c r="H65" i="27"/>
  <c r="F21" i="24" s="1"/>
  <c r="F65" i="27"/>
  <c r="E21" i="24" s="1"/>
  <c r="G22" l="1"/>
  <c r="G33"/>
  <c r="F32"/>
  <c r="E34"/>
  <c r="D16" i="42"/>
  <c r="F33" i="24"/>
  <c r="C15" i="42"/>
  <c r="D15"/>
  <c r="M59" i="38"/>
  <c r="M58"/>
  <c r="K49"/>
  <c r="K60" s="1"/>
  <c r="J49"/>
  <c r="J60" s="1"/>
  <c r="I49"/>
  <c r="I60" s="1"/>
  <c r="M35"/>
  <c r="M40"/>
  <c r="M48"/>
  <c r="K122"/>
  <c r="J122"/>
  <c r="I122"/>
  <c r="H122"/>
  <c r="D122"/>
  <c r="C122"/>
  <c r="E121"/>
  <c r="F121" s="1"/>
  <c r="E120"/>
  <c r="F120" s="1"/>
  <c r="L119"/>
  <c r="E119" s="1"/>
  <c r="F119" s="1"/>
  <c r="L118"/>
  <c r="E118" s="1"/>
  <c r="F118" s="1"/>
  <c r="L117"/>
  <c r="E117" s="1"/>
  <c r="F117" s="1"/>
  <c r="L116"/>
  <c r="E116" s="1"/>
  <c r="F116" s="1"/>
  <c r="E115"/>
  <c r="F115" s="1"/>
  <c r="L114"/>
  <c r="E114" s="1"/>
  <c r="F114" s="1"/>
  <c r="E113"/>
  <c r="F113" s="1"/>
  <c r="L112"/>
  <c r="E112" s="1"/>
  <c r="F112" s="1"/>
  <c r="K110"/>
  <c r="J110"/>
  <c r="I110"/>
  <c r="H110"/>
  <c r="D110"/>
  <c r="E109"/>
  <c r="F109" s="1"/>
  <c r="L108"/>
  <c r="E108" s="1"/>
  <c r="F108" s="1"/>
  <c r="L107"/>
  <c r="E107" s="1"/>
  <c r="F107" s="1"/>
  <c r="L106"/>
  <c r="E106" s="1"/>
  <c r="F106" s="1"/>
  <c r="L105"/>
  <c r="E105" s="1"/>
  <c r="F105" s="1"/>
  <c r="L104"/>
  <c r="E104" s="1"/>
  <c r="F104" s="1"/>
  <c r="L103"/>
  <c r="E103" s="1"/>
  <c r="F103" s="1"/>
  <c r="L102"/>
  <c r="E102" s="1"/>
  <c r="F102" s="1"/>
  <c r="L101"/>
  <c r="E101" s="1"/>
  <c r="F101" s="1"/>
  <c r="L100"/>
  <c r="E100" s="1"/>
  <c r="F100" s="1"/>
  <c r="E99"/>
  <c r="F99" s="1"/>
  <c r="L98"/>
  <c r="E98" s="1"/>
  <c r="F98" s="1"/>
  <c r="L97"/>
  <c r="E97" s="1"/>
  <c r="C97"/>
  <c r="C110" s="1"/>
  <c r="L96"/>
  <c r="E96" s="1"/>
  <c r="F96" s="1"/>
  <c r="L95"/>
  <c r="E95" s="1"/>
  <c r="F95" s="1"/>
  <c r="E94"/>
  <c r="F94" s="1"/>
  <c r="L93"/>
  <c r="E93" s="1"/>
  <c r="F93" s="1"/>
  <c r="L92"/>
  <c r="E92" s="1"/>
  <c r="F92" s="1"/>
  <c r="L91"/>
  <c r="E91" s="1"/>
  <c r="F91" s="1"/>
  <c r="L90"/>
  <c r="E90" s="1"/>
  <c r="F90" s="1"/>
  <c r="L89"/>
  <c r="D87"/>
  <c r="L87" s="1"/>
  <c r="E87" s="1"/>
  <c r="C86"/>
  <c r="C87" s="1"/>
  <c r="D79"/>
  <c r="L79" s="1"/>
  <c r="C76"/>
  <c r="C79" s="1"/>
  <c r="E57"/>
  <c r="F57" s="1"/>
  <c r="E59"/>
  <c r="F59" s="1"/>
  <c r="E56"/>
  <c r="F56" s="1"/>
  <c r="E55"/>
  <c r="F55" s="1"/>
  <c r="E54"/>
  <c r="F54" s="1"/>
  <c r="E53"/>
  <c r="E48"/>
  <c r="F48" s="1"/>
  <c r="L47"/>
  <c r="M47" s="1"/>
  <c r="L46"/>
  <c r="E46" s="1"/>
  <c r="F46" s="1"/>
  <c r="L45"/>
  <c r="E45" s="1"/>
  <c r="F45" s="1"/>
  <c r="L44"/>
  <c r="E44" s="1"/>
  <c r="F44" s="1"/>
  <c r="E43"/>
  <c r="F43" s="1"/>
  <c r="L42"/>
  <c r="M42" s="1"/>
  <c r="E41"/>
  <c r="F41" s="1"/>
  <c r="E40"/>
  <c r="F40" s="1"/>
  <c r="M39"/>
  <c r="L38"/>
  <c r="E38" s="1"/>
  <c r="C38"/>
  <c r="E37"/>
  <c r="F37" s="1"/>
  <c r="L36"/>
  <c r="E36" s="1"/>
  <c r="F36" s="1"/>
  <c r="E35"/>
  <c r="F35" s="1"/>
  <c r="M34"/>
  <c r="L33"/>
  <c r="E33" s="1"/>
  <c r="F33" s="1"/>
  <c r="L32"/>
  <c r="E32" s="1"/>
  <c r="F32" s="1"/>
  <c r="L31"/>
  <c r="M31" s="1"/>
  <c r="L30"/>
  <c r="M30" s="1"/>
  <c r="D28"/>
  <c r="E28" s="1"/>
  <c r="C27"/>
  <c r="C28" s="1"/>
  <c r="D20"/>
  <c r="C17"/>
  <c r="C20" s="1"/>
  <c r="F97" l="1"/>
  <c r="N32" i="24"/>
  <c r="G32"/>
  <c r="G34" s="1"/>
  <c r="F34"/>
  <c r="C22" i="42"/>
  <c r="D22"/>
  <c r="L49" i="38"/>
  <c r="L60" s="1"/>
  <c r="J124"/>
  <c r="E39"/>
  <c r="F39" s="1"/>
  <c r="E34"/>
  <c r="F34" s="1"/>
  <c r="I124"/>
  <c r="K124"/>
  <c r="H124"/>
  <c r="L110"/>
  <c r="E52"/>
  <c r="F52" s="1"/>
  <c r="E31"/>
  <c r="F31" s="1"/>
  <c r="E42"/>
  <c r="F42" s="1"/>
  <c r="E47"/>
  <c r="F47" s="1"/>
  <c r="M37"/>
  <c r="M33"/>
  <c r="E51"/>
  <c r="F51" s="1"/>
  <c r="M41"/>
  <c r="M36"/>
  <c r="M32"/>
  <c r="E30"/>
  <c r="F30" s="1"/>
  <c r="M46"/>
  <c r="M44"/>
  <c r="F87"/>
  <c r="L122"/>
  <c r="M45"/>
  <c r="M43"/>
  <c r="M38"/>
  <c r="M28"/>
  <c r="F53"/>
  <c r="F28"/>
  <c r="C124"/>
  <c r="E79"/>
  <c r="F79" s="1"/>
  <c r="E122"/>
  <c r="F122" s="1"/>
  <c r="D124"/>
  <c r="M20"/>
  <c r="F38"/>
  <c r="E89"/>
  <c r="B7" i="12"/>
  <c r="C30"/>
  <c r="D30"/>
  <c r="B30"/>
  <c r="C29"/>
  <c r="D29" s="1"/>
  <c r="C28"/>
  <c r="D28" s="1"/>
  <c r="M49" i="38" l="1"/>
  <c r="E17" i="23"/>
  <c r="F17"/>
  <c r="M60" i="38"/>
  <c r="L124"/>
  <c r="E20"/>
  <c r="F89"/>
  <c r="E110"/>
  <c r="F110" s="1"/>
  <c r="E124" l="1"/>
  <c r="F124" s="1"/>
  <c r="F20"/>
  <c r="C20" i="16"/>
  <c r="E19"/>
  <c r="E18"/>
  <c r="E17"/>
  <c r="E16"/>
  <c r="E15"/>
  <c r="E14"/>
  <c r="E13"/>
  <c r="E12"/>
  <c r="C45"/>
  <c r="E38"/>
  <c r="E41"/>
  <c r="E42"/>
  <c r="E43"/>
  <c r="E37"/>
  <c r="E44"/>
  <c r="E40"/>
  <c r="E39"/>
  <c r="E20" l="1"/>
  <c r="D20" s="1"/>
  <c r="E45"/>
  <c r="D37" i="17" l="1"/>
  <c r="E47" i="2" s="1"/>
  <c r="C37" i="17"/>
  <c r="D47" i="2" s="1"/>
  <c r="H16" i="33" l="1"/>
  <c r="F84"/>
  <c r="F86"/>
  <c r="F87"/>
  <c r="F88"/>
  <c r="F85"/>
  <c r="E72"/>
  <c r="E33" s="1"/>
  <c r="F70"/>
  <c r="P113"/>
  <c r="P114"/>
  <c r="P115"/>
  <c r="P116"/>
  <c r="P117"/>
  <c r="P118"/>
  <c r="P112"/>
  <c r="P93"/>
  <c r="P92"/>
  <c r="P95"/>
  <c r="P96"/>
  <c r="P97"/>
  <c r="P94"/>
  <c r="P80"/>
  <c r="P79"/>
  <c r="O82" s="1"/>
  <c r="E44" s="1"/>
  <c r="P78"/>
  <c r="P77"/>
  <c r="G42"/>
  <c r="G41"/>
  <c r="M15"/>
  <c r="G20"/>
  <c r="H20" s="1"/>
  <c r="P18"/>
  <c r="O18"/>
  <c r="N18"/>
  <c r="C32" i="16" l="1"/>
  <c r="D45" s="1"/>
  <c r="E25"/>
  <c r="E26"/>
  <c r="E27"/>
  <c r="E28"/>
  <c r="E29"/>
  <c r="E30"/>
  <c r="E31"/>
  <c r="E24"/>
  <c r="L34" i="33"/>
  <c r="F51"/>
  <c r="E13" i="37" s="1"/>
  <c r="F53" i="33"/>
  <c r="E15" i="37" s="1"/>
  <c r="G53" i="33"/>
  <c r="F15" i="37" s="1"/>
  <c r="F54" i="33"/>
  <c r="F58"/>
  <c r="E20" i="37" s="1"/>
  <c r="E58" i="33"/>
  <c r="D20" i="37" s="1"/>
  <c r="E51" i="33"/>
  <c r="D13" i="37" s="1"/>
  <c r="E53" i="33"/>
  <c r="D15" i="37" s="1"/>
  <c r="E54" i="33"/>
  <c r="E50"/>
  <c r="D12" i="37" s="1"/>
  <c r="E45" i="33"/>
  <c r="G46"/>
  <c r="G35"/>
  <c r="K28"/>
  <c r="O25"/>
  <c r="O28" s="1"/>
  <c r="P25"/>
  <c r="P28" s="1"/>
  <c r="N25"/>
  <c r="N28" s="1"/>
  <c r="Q19"/>
  <c r="Q18"/>
  <c r="M24"/>
  <c r="K25"/>
  <c r="M25" s="1"/>
  <c r="L22"/>
  <c r="M18"/>
  <c r="K19"/>
  <c r="M19" s="1"/>
  <c r="G24"/>
  <c r="G58" s="1"/>
  <c r="F20" i="37" s="1"/>
  <c r="G39" i="33"/>
  <c r="H39" s="1"/>
  <c r="G31"/>
  <c r="G54" s="1"/>
  <c r="G28"/>
  <c r="G17"/>
  <c r="H17" s="1"/>
  <c r="H18" s="1"/>
  <c r="F38"/>
  <c r="F27"/>
  <c r="E18" i="46" s="1"/>
  <c r="F16" i="33"/>
  <c r="E18"/>
  <c r="E40"/>
  <c r="E29"/>
  <c r="C43"/>
  <c r="C44" s="1"/>
  <c r="C46" s="1"/>
  <c r="G18" l="1"/>
  <c r="G21" s="1"/>
  <c r="N24"/>
  <c r="N27" s="1"/>
  <c r="F29"/>
  <c r="G38"/>
  <c r="G40" s="1"/>
  <c r="E19" i="46"/>
  <c r="F18" i="33"/>
  <c r="E17" i="46"/>
  <c r="F50" i="33"/>
  <c r="E12" i="37" s="1"/>
  <c r="F40" i="33"/>
  <c r="F43" s="1"/>
  <c r="P24"/>
  <c r="P27" s="1"/>
  <c r="H21"/>
  <c r="H22" s="1"/>
  <c r="H38"/>
  <c r="F16" i="37"/>
  <c r="E83" i="33"/>
  <c r="E90" s="1"/>
  <c r="F33" s="1"/>
  <c r="E16" i="37"/>
  <c r="G22" i="33"/>
  <c r="G23" s="1"/>
  <c r="H23" s="1"/>
  <c r="O24"/>
  <c r="O27" s="1"/>
  <c r="D16" i="37"/>
  <c r="H28" i="33"/>
  <c r="H51" s="1"/>
  <c r="G13" i="37" s="1"/>
  <c r="G51" i="33"/>
  <c r="F13" i="37" s="1"/>
  <c r="E32" i="16"/>
  <c r="D32" s="1"/>
  <c r="E52" i="33"/>
  <c r="D14" i="37" s="1"/>
  <c r="E32" i="33"/>
  <c r="G27"/>
  <c r="H27" s="1"/>
  <c r="Q25"/>
  <c r="Q28" s="1"/>
  <c r="F32"/>
  <c r="E21"/>
  <c r="E22" s="1"/>
  <c r="E23" s="1"/>
  <c r="E43"/>
  <c r="D48" i="16" l="1"/>
  <c r="D47"/>
  <c r="F21" i="33"/>
  <c r="F22" s="1"/>
  <c r="H24"/>
  <c r="F52"/>
  <c r="E14" i="37" s="1"/>
  <c r="D20" i="46"/>
  <c r="Q24" i="33"/>
  <c r="Q27" s="1"/>
  <c r="H40"/>
  <c r="E56"/>
  <c r="J32"/>
  <c r="H29"/>
  <c r="H50"/>
  <c r="G12" i="37" s="1"/>
  <c r="D18" i="12"/>
  <c r="O92" i="33"/>
  <c r="O99" s="1"/>
  <c r="F44" s="1"/>
  <c r="F45" s="1"/>
  <c r="E55"/>
  <c r="D17" i="37" s="1"/>
  <c r="C18" i="12"/>
  <c r="O111" i="33"/>
  <c r="O123" s="1"/>
  <c r="G44" s="1"/>
  <c r="G43"/>
  <c r="E34"/>
  <c r="F55"/>
  <c r="E17" i="37" s="1"/>
  <c r="G29" i="33"/>
  <c r="G50"/>
  <c r="F12" i="37" s="1"/>
  <c r="C39" i="27"/>
  <c r="J39" s="1"/>
  <c r="K39" s="1"/>
  <c r="C88" i="35"/>
  <c r="C28" i="27"/>
  <c r="C29" s="1"/>
  <c r="J29" s="1"/>
  <c r="K29" s="1"/>
  <c r="C18"/>
  <c r="C21" s="1"/>
  <c r="J21" s="1"/>
  <c r="K21" s="1"/>
  <c r="C64"/>
  <c r="C52" l="1"/>
  <c r="F23" i="33"/>
  <c r="H52"/>
  <c r="G14" i="37" s="1"/>
  <c r="G45" i="33"/>
  <c r="E57"/>
  <c r="D19" i="37" s="1"/>
  <c r="D21" s="1"/>
  <c r="D22" s="1"/>
  <c r="D18"/>
  <c r="G52" i="33"/>
  <c r="F14" i="37" s="1"/>
  <c r="G32" i="33"/>
  <c r="F56"/>
  <c r="F34"/>
  <c r="C65" i="27"/>
  <c r="K102" i="35"/>
  <c r="F65"/>
  <c r="F54"/>
  <c r="F59"/>
  <c r="F60"/>
  <c r="F61"/>
  <c r="F52"/>
  <c r="F43"/>
  <c r="G43" s="1"/>
  <c r="F30"/>
  <c r="G30" s="1"/>
  <c r="H91"/>
  <c r="E69" s="1"/>
  <c r="F69" s="1"/>
  <c r="AI36"/>
  <c r="AK36"/>
  <c r="AJ36"/>
  <c r="AH36"/>
  <c r="AI19"/>
  <c r="AJ19" s="1"/>
  <c r="AI20"/>
  <c r="AJ20" s="1"/>
  <c r="AI18"/>
  <c r="AJ18" s="1"/>
  <c r="AH22"/>
  <c r="AJ21"/>
  <c r="AI16"/>
  <c r="AJ16"/>
  <c r="AK16"/>
  <c r="AH16"/>
  <c r="E50"/>
  <c r="H50"/>
  <c r="J50" s="1"/>
  <c r="K50"/>
  <c r="M50" s="1"/>
  <c r="N50"/>
  <c r="P50" s="1"/>
  <c r="E66"/>
  <c r="E68" s="1"/>
  <c r="H66"/>
  <c r="J66" s="1"/>
  <c r="K66"/>
  <c r="M66" s="1"/>
  <c r="N66"/>
  <c r="P66" s="1"/>
  <c r="C66"/>
  <c r="C62"/>
  <c r="C50"/>
  <c r="C30"/>
  <c r="C22"/>
  <c r="E64" i="27"/>
  <c r="E52"/>
  <c r="D64"/>
  <c r="D52"/>
  <c r="C53" i="33"/>
  <c r="C52"/>
  <c r="C50"/>
  <c r="C32"/>
  <c r="C33" s="1"/>
  <c r="C35" s="1"/>
  <c r="C21"/>
  <c r="C22" s="1"/>
  <c r="C24" s="1"/>
  <c r="F38" i="32"/>
  <c r="E38"/>
  <c r="D38"/>
  <c r="D37"/>
  <c r="C37"/>
  <c r="F36"/>
  <c r="E36"/>
  <c r="D36"/>
  <c r="C36"/>
  <c r="F35"/>
  <c r="E35"/>
  <c r="F34"/>
  <c r="E34"/>
  <c r="D34"/>
  <c r="C34"/>
  <c r="F29"/>
  <c r="F30" s="1"/>
  <c r="F32" s="1"/>
  <c r="E29"/>
  <c r="E30" s="1"/>
  <c r="E32" s="1"/>
  <c r="D29"/>
  <c r="D30" s="1"/>
  <c r="D32" s="1"/>
  <c r="C29"/>
  <c r="C30" s="1"/>
  <c r="C32" s="1"/>
  <c r="F18"/>
  <c r="F19" s="1"/>
  <c r="F21" s="1"/>
  <c r="F42" s="1"/>
  <c r="E18"/>
  <c r="E19" s="1"/>
  <c r="E21" s="1"/>
  <c r="E42" s="1"/>
  <c r="D18"/>
  <c r="D39" s="1"/>
  <c r="C18"/>
  <c r="C39" s="1"/>
  <c r="F50" i="35" l="1"/>
  <c r="G28" i="24"/>
  <c r="B26" i="46"/>
  <c r="D65" i="27"/>
  <c r="F41" i="24" s="1"/>
  <c r="C58" i="33"/>
  <c r="F66" i="35"/>
  <c r="G65"/>
  <c r="J68"/>
  <c r="H89"/>
  <c r="H93" s="1"/>
  <c r="K89" s="1"/>
  <c r="E71"/>
  <c r="G50"/>
  <c r="F57" i="33"/>
  <c r="E19" i="37" s="1"/>
  <c r="E18"/>
  <c r="D23"/>
  <c r="D21" i="23" s="1"/>
  <c r="G33" i="33"/>
  <c r="G55"/>
  <c r="F17" i="37" s="1"/>
  <c r="AJ22" i="35"/>
  <c r="F62"/>
  <c r="K68"/>
  <c r="N68"/>
  <c r="P68" s="1"/>
  <c r="AI22"/>
  <c r="H68"/>
  <c r="K90" s="1"/>
  <c r="D66"/>
  <c r="C68"/>
  <c r="D50"/>
  <c r="E65" i="27"/>
  <c r="J52"/>
  <c r="K52" s="1"/>
  <c r="J64"/>
  <c r="K64" s="1"/>
  <c r="F39" i="32"/>
  <c r="F40" s="1"/>
  <c r="F41" s="1"/>
  <c r="C40"/>
  <c r="C55" i="33"/>
  <c r="C56" s="1"/>
  <c r="C57" s="1"/>
  <c r="D40" i="32"/>
  <c r="D19"/>
  <c r="D21" s="1"/>
  <c r="D42" s="1"/>
  <c r="E39"/>
  <c r="E40" s="1"/>
  <c r="E41" s="1"/>
  <c r="C19"/>
  <c r="C21" s="1"/>
  <c r="C42" s="1"/>
  <c r="B24" i="46" l="1"/>
  <c r="B27"/>
  <c r="C27"/>
  <c r="D20" i="24"/>
  <c r="D24" s="1"/>
  <c r="D28"/>
  <c r="D41"/>
  <c r="C25" i="30"/>
  <c r="C24" s="1"/>
  <c r="D26" i="46"/>
  <c r="N90" i="35"/>
  <c r="M68"/>
  <c r="F68"/>
  <c r="F71" s="1"/>
  <c r="G62"/>
  <c r="E21" i="37"/>
  <c r="E22" s="1"/>
  <c r="E23" s="1"/>
  <c r="E21" i="23" s="1"/>
  <c r="G34" i="33"/>
  <c r="G56"/>
  <c r="J65" i="27"/>
  <c r="K93" i="35"/>
  <c r="D62"/>
  <c r="C41" i="32"/>
  <c r="D41"/>
  <c r="G21" i="24" l="1"/>
  <c r="K65" i="27"/>
  <c r="D29" i="24"/>
  <c r="D27" i="46"/>
  <c r="E27"/>
  <c r="D24"/>
  <c r="E41" i="24"/>
  <c r="G41" s="1"/>
  <c r="B14" i="42" s="1"/>
  <c r="E20" i="24"/>
  <c r="C84" i="35"/>
  <c r="C90" s="1"/>
  <c r="G68"/>
  <c r="I102"/>
  <c r="L102" s="1"/>
  <c r="G57" i="33"/>
  <c r="F19" i="37" s="1"/>
  <c r="F21" s="1"/>
  <c r="F22" s="1"/>
  <c r="F23" s="1"/>
  <c r="F21" i="23" s="1"/>
  <c r="F18" i="37"/>
  <c r="N89" i="35"/>
  <c r="N93" s="1"/>
  <c r="D68"/>
  <c r="G8" i="17"/>
  <c r="G7"/>
  <c r="F18"/>
  <c r="E18"/>
  <c r="D18"/>
  <c r="C18"/>
  <c r="C14" i="42" l="1"/>
  <c r="E24" i="24"/>
  <c r="B17" i="42"/>
  <c r="B15" i="41" s="1"/>
  <c r="B19" s="1"/>
  <c r="B21" s="1"/>
  <c r="B14"/>
  <c r="B16" s="1"/>
  <c r="B22" s="1"/>
  <c r="B21" i="42"/>
  <c r="B23" s="1"/>
  <c r="B24" s="1"/>
  <c r="B26" s="1"/>
  <c r="D19" i="2" s="1"/>
  <c r="E22" i="42"/>
  <c r="D7" i="44"/>
  <c r="D6"/>
  <c r="B23" i="41" l="1"/>
  <c r="D18" i="23"/>
  <c r="B29" i="41"/>
  <c r="B30"/>
  <c r="D20" i="2" s="1"/>
  <c r="C21" i="42"/>
  <c r="C23" s="1"/>
  <c r="C24" s="1"/>
  <c r="C26" s="1"/>
  <c r="E19" i="2" s="1"/>
  <c r="C14" i="41"/>
  <c r="C17" i="42"/>
  <c r="C18" s="1"/>
  <c r="F20" i="24"/>
  <c r="F24" s="1"/>
  <c r="E29"/>
  <c r="D14" i="23"/>
  <c r="B18" i="42"/>
  <c r="G17" i="23"/>
  <c r="C6" i="16"/>
  <c r="C7" i="20" s="1"/>
  <c r="B8" i="12" s="1"/>
  <c r="C5" i="16"/>
  <c r="K24" i="4"/>
  <c r="K25" s="1"/>
  <c r="K20"/>
  <c r="C28"/>
  <c r="D28" s="1"/>
  <c r="E28" s="1"/>
  <c r="F28" s="1"/>
  <c r="G28" s="1"/>
  <c r="H28" s="1"/>
  <c r="C26"/>
  <c r="D26" s="1"/>
  <c r="E26" s="1"/>
  <c r="F26" s="1"/>
  <c r="G26" s="1"/>
  <c r="H26" s="1"/>
  <c r="C23"/>
  <c r="D23" s="1"/>
  <c r="E23" s="1"/>
  <c r="F23" s="1"/>
  <c r="G23" s="1"/>
  <c r="H23" s="1"/>
  <c r="C21"/>
  <c r="D21" s="1"/>
  <c r="E21" s="1"/>
  <c r="F21" s="1"/>
  <c r="G21" s="1"/>
  <c r="H21" s="1"/>
  <c r="C20" i="41" l="1"/>
  <c r="E15" i="23"/>
  <c r="E14"/>
  <c r="G20" i="24"/>
  <c r="G24" s="1"/>
  <c r="G29" s="1"/>
  <c r="F29"/>
  <c r="D17" i="2"/>
  <c r="B31" i="41"/>
  <c r="D16" i="23" s="1"/>
  <c r="D14" i="42"/>
  <c r="C15" i="41"/>
  <c r="C19" s="1"/>
  <c r="C21" s="1"/>
  <c r="H33" i="22"/>
  <c r="F33"/>
  <c r="D33"/>
  <c r="H23"/>
  <c r="F23"/>
  <c r="D23"/>
  <c r="D18"/>
  <c r="D24" s="1"/>
  <c r="H17"/>
  <c r="H18" s="1"/>
  <c r="F17"/>
  <c r="F18" s="1"/>
  <c r="F24" s="1"/>
  <c r="D17"/>
  <c r="H15"/>
  <c r="H13"/>
  <c r="F13"/>
  <c r="F15" s="1"/>
  <c r="D13"/>
  <c r="D15" s="1"/>
  <c r="H33" i="21"/>
  <c r="F33"/>
  <c r="D33"/>
  <c r="K29"/>
  <c r="D19"/>
  <c r="D23" s="1"/>
  <c r="D16"/>
  <c r="D18" s="1"/>
  <c r="D13"/>
  <c r="D14" s="1"/>
  <c r="D15" s="1"/>
  <c r="N12"/>
  <c r="N14" s="1"/>
  <c r="N11"/>
  <c r="F11"/>
  <c r="F16" s="1"/>
  <c r="F18" s="1"/>
  <c r="D40" i="20"/>
  <c r="D37"/>
  <c r="H11" i="21" l="1"/>
  <c r="H19" s="1"/>
  <c r="H23" s="1"/>
  <c r="F13"/>
  <c r="J33" i="22"/>
  <c r="D24" i="21"/>
  <c r="D27" s="1"/>
  <c r="H24" i="22"/>
  <c r="C16" i="41"/>
  <c r="C22" s="1"/>
  <c r="D21" i="42"/>
  <c r="D23" s="1"/>
  <c r="D24" s="1"/>
  <c r="D26" s="1"/>
  <c r="F19" i="2" s="1"/>
  <c r="D14" i="41"/>
  <c r="D17" i="42"/>
  <c r="D18" s="1"/>
  <c r="C5" i="22"/>
  <c r="C6"/>
  <c r="H25"/>
  <c r="H27" s="1"/>
  <c r="N15" i="21"/>
  <c r="D47" i="22"/>
  <c r="D48" s="1"/>
  <c r="H13" i="21"/>
  <c r="H14" s="1"/>
  <c r="H15" s="1"/>
  <c r="F19"/>
  <c r="F23" s="1"/>
  <c r="F24" s="1"/>
  <c r="D32" i="20"/>
  <c r="D41"/>
  <c r="D25" i="21"/>
  <c r="F25" i="22"/>
  <c r="F27" s="1"/>
  <c r="D25"/>
  <c r="D27" s="1"/>
  <c r="K22"/>
  <c r="J27"/>
  <c r="J28" s="1"/>
  <c r="H16" i="21"/>
  <c r="H18" s="1"/>
  <c r="H24" s="1"/>
  <c r="F14"/>
  <c r="F15" s="1"/>
  <c r="D35" i="20"/>
  <c r="D34"/>
  <c r="D39"/>
  <c r="D36"/>
  <c r="F14" i="23" l="1"/>
  <c r="C29" i="41"/>
  <c r="E18" i="23"/>
  <c r="C30" i="41"/>
  <c r="E20" i="2" s="1"/>
  <c r="C23" i="41"/>
  <c r="D15"/>
  <c r="D19" s="1"/>
  <c r="E14" i="42"/>
  <c r="C5" i="21"/>
  <c r="C6"/>
  <c r="E35" i="20"/>
  <c r="J33" i="21"/>
  <c r="F25"/>
  <c r="F27"/>
  <c r="H27"/>
  <c r="H25"/>
  <c r="E37" i="20"/>
  <c r="E38" s="1"/>
  <c r="E39" s="1"/>
  <c r="E36"/>
  <c r="D20" i="41" l="1"/>
  <c r="F15" i="23"/>
  <c r="J27" i="21"/>
  <c r="E17" i="2"/>
  <c r="C31" i="41"/>
  <c r="E16" i="23" s="1"/>
  <c r="D16" i="41"/>
  <c r="E21" i="42"/>
  <c r="E14" i="41"/>
  <c r="E17" i="42"/>
  <c r="D21" i="41"/>
  <c r="D20" i="20"/>
  <c r="D21" s="1"/>
  <c r="D22" s="1"/>
  <c r="D23" s="1"/>
  <c r="D19"/>
  <c r="E40"/>
  <c r="E41" s="1"/>
  <c r="D24" l="1"/>
  <c r="H28" i="2"/>
  <c r="G15" i="17" s="1"/>
  <c r="E15" i="41"/>
  <c r="E19" s="1"/>
  <c r="F14" i="42"/>
  <c r="G14" i="23"/>
  <c r="E23" i="42"/>
  <c r="E24" s="1"/>
  <c r="E26" s="1"/>
  <c r="G19" i="2" s="1"/>
  <c r="E18" i="42"/>
  <c r="D22" i="41"/>
  <c r="E16" i="17"/>
  <c r="D16" s="1"/>
  <c r="C16" s="1"/>
  <c r="F16"/>
  <c r="D28" i="2"/>
  <c r="E28" s="1"/>
  <c r="F28" s="1"/>
  <c r="G28" s="1"/>
  <c r="E15" i="17"/>
  <c r="D15" s="1"/>
  <c r="C15" s="1"/>
  <c r="F15"/>
  <c r="D19" i="23"/>
  <c r="F14" i="41" l="1"/>
  <c r="E16"/>
  <c r="H30" i="2"/>
  <c r="H49" s="1"/>
  <c r="F14" i="52"/>
  <c r="D30" i="2"/>
  <c r="E30" s="1"/>
  <c r="F30" s="1"/>
  <c r="G30" s="1"/>
  <c r="G22" i="17"/>
  <c r="H47" i="2"/>
  <c r="H29"/>
  <c r="G16" i="17" s="1"/>
  <c r="G23" s="1"/>
  <c r="F17" i="42"/>
  <c r="F21"/>
  <c r="H14" i="23" s="1"/>
  <c r="F18" i="42"/>
  <c r="F18" i="23"/>
  <c r="D29" i="41"/>
  <c r="D30"/>
  <c r="F20" i="2" s="1"/>
  <c r="D23" i="41"/>
  <c r="D20" i="23"/>
  <c r="D22" s="1"/>
  <c r="D18" i="2" s="1"/>
  <c r="F15" i="52" l="1"/>
  <c r="F16" s="1"/>
  <c r="D14" i="56"/>
  <c r="D15" s="1"/>
  <c r="E14"/>
  <c r="E15" s="1"/>
  <c r="F14"/>
  <c r="F15" s="1"/>
  <c r="C14"/>
  <c r="C15" s="1"/>
  <c r="E20" i="41"/>
  <c r="G15" i="23"/>
  <c r="G14" i="42"/>
  <c r="F15" i="41"/>
  <c r="F19" s="1"/>
  <c r="D29" i="2"/>
  <c r="E29" s="1"/>
  <c r="F29" s="1"/>
  <c r="G29" s="1"/>
  <c r="F23" i="42"/>
  <c r="F24" s="1"/>
  <c r="F26" s="1"/>
  <c r="H19" i="2" s="1"/>
  <c r="C15" i="55" s="1"/>
  <c r="G17" i="42"/>
  <c r="F17" i="2"/>
  <c r="D31" i="41"/>
  <c r="F16" i="23" s="1"/>
  <c r="E21" i="41"/>
  <c r="E22" s="1"/>
  <c r="E19" i="23"/>
  <c r="C25" i="55" l="1"/>
  <c r="C27" s="1"/>
  <c r="B14" i="56"/>
  <c r="B15" s="1"/>
  <c r="F16" i="41"/>
  <c r="H14" i="42"/>
  <c r="H17" s="1"/>
  <c r="H18" s="1"/>
  <c r="G15" i="41"/>
  <c r="G19" s="1"/>
  <c r="G14"/>
  <c r="G16" s="1"/>
  <c r="G18" i="42"/>
  <c r="G21"/>
  <c r="G23" s="1"/>
  <c r="G18" i="23"/>
  <c r="E29" i="41"/>
  <c r="G17" i="2" s="1"/>
  <c r="E23" i="41"/>
  <c r="E20" i="23"/>
  <c r="E22" s="1"/>
  <c r="E18" i="2" s="1"/>
  <c r="H21" i="42" l="1"/>
  <c r="I14" i="23"/>
  <c r="H27" s="1"/>
  <c r="H15"/>
  <c r="H16" s="1"/>
  <c r="F20" i="41"/>
  <c r="I14" i="42"/>
  <c r="H15" i="41"/>
  <c r="H19" s="1"/>
  <c r="G24" i="42"/>
  <c r="G26" s="1"/>
  <c r="I19" i="2" s="1"/>
  <c r="D15" i="55" s="1"/>
  <c r="J14" i="23"/>
  <c r="H14" i="41"/>
  <c r="I17" i="42"/>
  <c r="I21"/>
  <c r="H23"/>
  <c r="H24" s="1"/>
  <c r="H26" s="1"/>
  <c r="J19" i="2" s="1"/>
  <c r="E15" i="55" s="1"/>
  <c r="F19" i="23"/>
  <c r="J43" i="33"/>
  <c r="H53"/>
  <c r="G15" i="37" s="1"/>
  <c r="J14" i="42" l="1"/>
  <c r="J21" s="1"/>
  <c r="I15" i="41"/>
  <c r="I19" s="1"/>
  <c r="I14"/>
  <c r="K14" i="23"/>
  <c r="H16" i="41"/>
  <c r="I27" i="23"/>
  <c r="I28" s="1"/>
  <c r="I30" s="1"/>
  <c r="F21" i="41"/>
  <c r="F22" s="1"/>
  <c r="F23" s="1"/>
  <c r="H28" i="23"/>
  <c r="H30" s="1"/>
  <c r="I23" i="42"/>
  <c r="I24" s="1"/>
  <c r="I26" s="1"/>
  <c r="K19" i="2" s="1"/>
  <c r="F15" i="55" s="1"/>
  <c r="I18" i="42"/>
  <c r="J17"/>
  <c r="F20" i="23"/>
  <c r="F22" s="1"/>
  <c r="F18" i="2" s="1"/>
  <c r="I16" i="41" l="1"/>
  <c r="G20"/>
  <c r="G21" s="1"/>
  <c r="G22" s="1"/>
  <c r="I15" i="23"/>
  <c r="I16" s="1"/>
  <c r="J27"/>
  <c r="H18"/>
  <c r="H19" s="1"/>
  <c r="H20" s="1"/>
  <c r="H22" s="1"/>
  <c r="F29" i="41"/>
  <c r="H17" i="2" s="1"/>
  <c r="C13" i="55" s="1"/>
  <c r="J18" i="42"/>
  <c r="J15" i="41"/>
  <c r="J19" s="1"/>
  <c r="J14"/>
  <c r="L14" i="23"/>
  <c r="J23" i="42"/>
  <c r="J24" s="1"/>
  <c r="J26" s="1"/>
  <c r="L19" i="2" s="1"/>
  <c r="G15" i="55" s="1"/>
  <c r="E58" i="38"/>
  <c r="E60" s="1"/>
  <c r="G16" i="23"/>
  <c r="G19" s="1"/>
  <c r="J16" i="41" l="1"/>
  <c r="J28" i="23"/>
  <c r="J30" s="1"/>
  <c r="K27"/>
  <c r="G23" i="41"/>
  <c r="I18" i="23"/>
  <c r="I19" s="1"/>
  <c r="I20" s="1"/>
  <c r="I22" s="1"/>
  <c r="G29" i="41"/>
  <c r="I17" i="2" s="1"/>
  <c r="D13" i="55" s="1"/>
  <c r="G20" i="23"/>
  <c r="C24" i="17"/>
  <c r="C26" s="1"/>
  <c r="D21" i="2" s="1"/>
  <c r="D24" s="1"/>
  <c r="D24" i="17"/>
  <c r="D26" s="1"/>
  <c r="E21" i="2" s="1"/>
  <c r="E24" s="1"/>
  <c r="E24" i="17"/>
  <c r="E26" s="1"/>
  <c r="F21" i="2" s="1"/>
  <c r="F24" s="1"/>
  <c r="F24" i="17"/>
  <c r="F26" s="1"/>
  <c r="G21" i="2" s="1"/>
  <c r="H20" i="41" l="1"/>
  <c r="J15" i="23"/>
  <c r="J16" s="1"/>
  <c r="L27"/>
  <c r="L28" s="1"/>
  <c r="L30" s="1"/>
  <c r="K28"/>
  <c r="K30" s="1"/>
  <c r="C19" i="17"/>
  <c r="D48" i="2"/>
  <c r="E19" i="17"/>
  <c r="F46" i="2"/>
  <c r="F48"/>
  <c r="E46"/>
  <c r="E48"/>
  <c r="D19" i="17"/>
  <c r="D46" i="2"/>
  <c r="H18"/>
  <c r="C14" i="55" s="1"/>
  <c r="J21" i="23"/>
  <c r="M27" l="1"/>
  <c r="N27" s="1"/>
  <c r="O27" s="1"/>
  <c r="H21" i="41"/>
  <c r="H22" s="1"/>
  <c r="H23" s="1"/>
  <c r="K21" i="23"/>
  <c r="I18" i="2"/>
  <c r="D14" i="55" s="1"/>
  <c r="I20" i="41" l="1"/>
  <c r="K15" i="23"/>
  <c r="K16" s="1"/>
  <c r="J18"/>
  <c r="J19" s="1"/>
  <c r="J20" s="1"/>
  <c r="J22" s="1"/>
  <c r="J18" i="2" s="1"/>
  <c r="E14" i="55" s="1"/>
  <c r="H29" i="41"/>
  <c r="J17" i="2" s="1"/>
  <c r="E13" i="55" s="1"/>
  <c r="L21" i="23"/>
  <c r="I21" i="41" l="1"/>
  <c r="I22" s="1"/>
  <c r="K18" i="23" l="1"/>
  <c r="K19" s="1"/>
  <c r="K20" s="1"/>
  <c r="K22" s="1"/>
  <c r="K18" i="2" s="1"/>
  <c r="F14" i="55" s="1"/>
  <c r="I29" i="41"/>
  <c r="I23"/>
  <c r="K17" i="2" l="1"/>
  <c r="J20" i="41"/>
  <c r="J21" s="1"/>
  <c r="J22" s="1"/>
  <c r="L15" i="23"/>
  <c r="L16" s="1"/>
  <c r="J23" i="41" l="1"/>
  <c r="L18" i="23"/>
  <c r="L19" s="1"/>
  <c r="L20" s="1"/>
  <c r="L22" s="1"/>
  <c r="L18" i="2" s="1"/>
  <c r="G14" i="55" s="1"/>
  <c r="J29" i="41"/>
  <c r="F13" i="55"/>
  <c r="L17" i="2" l="1"/>
  <c r="G13" i="55" l="1"/>
  <c r="H32" i="33" l="1"/>
  <c r="H33"/>
  <c r="H43"/>
  <c r="H55" l="1"/>
  <c r="G17" i="37" s="1"/>
  <c r="H44" i="33"/>
  <c r="H54"/>
  <c r="H30" i="41" l="1"/>
  <c r="E30"/>
  <c r="I30"/>
  <c r="G30"/>
  <c r="F30"/>
  <c r="J30"/>
  <c r="G16" i="37"/>
  <c r="H56" i="33"/>
  <c r="G18" i="37" s="1"/>
  <c r="I31" i="41" l="1"/>
  <c r="K20" i="2"/>
  <c r="G20"/>
  <c r="E31" i="41"/>
  <c r="I20" i="2"/>
  <c r="G31" i="41"/>
  <c r="J31"/>
  <c r="L20" i="2"/>
  <c r="F31" i="41"/>
  <c r="H20" i="2"/>
  <c r="J20"/>
  <c r="H31" i="41"/>
  <c r="C16" i="55" l="1"/>
  <c r="F16"/>
  <c r="G16"/>
  <c r="E16"/>
  <c r="D16"/>
  <c r="H58" i="33"/>
  <c r="H57" l="1"/>
  <c r="G19" i="37" s="1"/>
  <c r="G21" s="1"/>
  <c r="G22" s="1"/>
  <c r="G23" s="1"/>
  <c r="G21" i="23" s="1"/>
  <c r="G22" s="1"/>
  <c r="G18" i="2" s="1"/>
  <c r="G24" s="1"/>
  <c r="G20" i="37"/>
  <c r="G46" i="2" l="1"/>
  <c r="F19" i="17"/>
  <c r="G48" i="2"/>
  <c r="C58" i="38"/>
  <c r="D58"/>
  <c r="F58"/>
  <c r="H58"/>
  <c r="C60"/>
  <c r="D60"/>
  <c r="F60"/>
  <c r="H60"/>
  <c r="C17" i="55"/>
  <c r="D17"/>
  <c r="E17"/>
  <c r="F17"/>
  <c r="G17"/>
  <c r="C22"/>
  <c r="D22"/>
  <c r="E22"/>
  <c r="F22"/>
  <c r="G22"/>
  <c r="C35"/>
  <c r="D35"/>
  <c r="E35"/>
  <c r="F35"/>
  <c r="G35"/>
  <c r="C52"/>
  <c r="D52"/>
  <c r="E52"/>
  <c r="F52"/>
  <c r="G52"/>
  <c r="I52"/>
  <c r="J52"/>
  <c r="K52"/>
  <c r="L52"/>
  <c r="M52"/>
  <c r="C54"/>
  <c r="D54"/>
  <c r="E54"/>
  <c r="F54"/>
  <c r="G54"/>
  <c r="B16" i="56"/>
  <c r="C16"/>
  <c r="D16"/>
  <c r="E16"/>
  <c r="F16"/>
  <c r="B17"/>
  <c r="C17"/>
  <c r="D17"/>
  <c r="E17"/>
  <c r="F17"/>
  <c r="B18"/>
  <c r="C18"/>
  <c r="D18"/>
  <c r="E18"/>
  <c r="F18"/>
  <c r="B19"/>
  <c r="C19"/>
  <c r="D19"/>
  <c r="E19"/>
  <c r="F19"/>
  <c r="B20"/>
  <c r="H21" i="2"/>
  <c r="I21"/>
  <c r="J21"/>
  <c r="K21"/>
  <c r="L21"/>
  <c r="H24"/>
  <c r="I24"/>
  <c r="J24"/>
  <c r="K24"/>
  <c r="L24"/>
  <c r="H46"/>
  <c r="I46"/>
  <c r="J46"/>
  <c r="K46"/>
  <c r="L46"/>
  <c r="H48"/>
  <c r="I48"/>
  <c r="J48"/>
  <c r="K48"/>
  <c r="L48"/>
  <c r="H50"/>
  <c r="I50"/>
  <c r="J50"/>
  <c r="K50"/>
  <c r="L50"/>
  <c r="G19" i="17"/>
  <c r="H19"/>
  <c r="I19"/>
  <c r="J19"/>
  <c r="K19"/>
  <c r="G20"/>
  <c r="H20"/>
  <c r="I20"/>
  <c r="J20"/>
  <c r="K20"/>
  <c r="G24"/>
  <c r="H24"/>
  <c r="I24"/>
  <c r="J24"/>
  <c r="K24"/>
  <c r="G26"/>
  <c r="H26"/>
  <c r="I26"/>
  <c r="J26"/>
  <c r="K26"/>
</calcChain>
</file>

<file path=xl/sharedStrings.xml><?xml version="1.0" encoding="utf-8"?>
<sst xmlns="http://schemas.openxmlformats.org/spreadsheetml/2006/main" count="2902" uniqueCount="1402">
  <si>
    <r>
      <rPr>
        <b/>
        <sz val="8.5"/>
        <rFont val="Tahoma"/>
        <family val="2"/>
      </rPr>
      <t>PART-I</t>
    </r>
  </si>
  <si>
    <r>
      <rPr>
        <b/>
        <sz val="8.5"/>
        <rFont val="Tahoma"/>
        <family val="2"/>
      </rPr>
      <t>FORM- 8</t>
    </r>
  </si>
  <si>
    <r>
      <rPr>
        <sz val="7"/>
        <rFont val="Arial"/>
        <family val="2"/>
      </rPr>
      <t>Appendix-I Part-I (Thermal).xls</t>
    </r>
  </si>
  <si>
    <r>
      <rPr>
        <sz val="8.5"/>
        <rFont val="Arial"/>
        <family val="2"/>
      </rPr>
      <t>Rate of Return on Equity</t>
    </r>
  </si>
  <si>
    <r>
      <rPr>
        <sz val="8.5"/>
        <rFont val="Arial"/>
        <family val="2"/>
      </rPr>
      <t>Target Availability</t>
    </r>
  </si>
  <si>
    <r>
      <rPr>
        <sz val="8.5"/>
        <rFont val="Arial"/>
        <family val="2"/>
      </rPr>
      <t>Target PLF</t>
    </r>
  </si>
  <si>
    <r>
      <rPr>
        <sz val="8.5"/>
        <rFont val="Arial"/>
        <family val="2"/>
      </rPr>
      <t>Auxiliary Energy Consumption</t>
    </r>
  </si>
  <si>
    <r>
      <rPr>
        <sz val="8.5"/>
        <rFont val="Arial"/>
        <family val="2"/>
      </rPr>
      <t>Gross Station Heat Rate</t>
    </r>
  </si>
  <si>
    <r>
      <rPr>
        <sz val="8.5"/>
        <rFont val="Arial"/>
        <family val="2"/>
      </rPr>
      <t>Specific Fuel Oil Consumption</t>
    </r>
  </si>
  <si>
    <r>
      <rPr>
        <sz val="8.5"/>
        <rFont val="Arial"/>
        <family val="2"/>
      </rPr>
      <t>O&amp;M Cost</t>
    </r>
  </si>
  <si>
    <r>
      <rPr>
        <sz val="8.5"/>
        <rFont val="Arial"/>
        <family val="2"/>
      </rPr>
      <t>Fuel Cost for WC</t>
    </r>
    <r>
      <rPr>
        <vertAlign val="superscript"/>
        <sz val="8.5"/>
        <rFont val="Tahoma"/>
        <family val="2"/>
      </rPr>
      <t>2</t>
    </r>
  </si>
  <si>
    <r>
      <rPr>
        <sz val="8.5"/>
        <rFont val="Arial"/>
        <family val="2"/>
      </rPr>
      <t>Liquid Fuel Stock for WC</t>
    </r>
    <r>
      <rPr>
        <vertAlign val="superscript"/>
        <sz val="8.5"/>
        <rFont val="Tahoma"/>
        <family val="2"/>
      </rPr>
      <t>2</t>
    </r>
  </si>
  <si>
    <r>
      <rPr>
        <sz val="8.5"/>
        <rFont val="Arial"/>
        <family val="2"/>
      </rPr>
      <t>Incentive Rate</t>
    </r>
  </si>
  <si>
    <r>
      <rPr>
        <sz val="10"/>
        <rFont val="Tahoma"/>
        <family val="2"/>
      </rPr>
      <t>Foreign Component, if any (In Million US $ or the relevant Currency)</t>
    </r>
  </si>
  <si>
    <r>
      <rPr>
        <sz val="10"/>
        <rFont val="Tahoma"/>
        <family val="2"/>
      </rPr>
      <t>Domestic Component (Rs. Cr.)</t>
    </r>
  </si>
  <si>
    <r>
      <rPr>
        <sz val="10"/>
        <rFont val="Tahoma"/>
        <family val="2"/>
      </rPr>
      <t>Foreign  Exchange  rate  considered  for  the admitted Capital cost</t>
    </r>
  </si>
  <si>
    <r>
      <rPr>
        <b/>
        <sz val="10"/>
        <rFont val="Tahoma"/>
        <family val="2"/>
      </rPr>
      <t>PETITIONER</t>
    </r>
  </si>
  <si>
    <r>
      <rPr>
        <b/>
        <sz val="5.5"/>
        <rFont val="Tahoma"/>
        <family val="2"/>
      </rPr>
      <t xml:space="preserve">PART-I
</t>
    </r>
    <r>
      <rPr>
        <b/>
        <sz val="5.5"/>
        <rFont val="Tahoma"/>
        <family val="2"/>
      </rPr>
      <t xml:space="preserve">FORM-5B
</t>
    </r>
    <r>
      <rPr>
        <b/>
        <sz val="5.5"/>
        <rFont val="Tahoma"/>
        <family val="2"/>
      </rPr>
      <t xml:space="preserve">Break-up of Capital Cost for Coal/Lignite based projects
</t>
    </r>
    <r>
      <rPr>
        <b/>
        <sz val="5.5"/>
        <rFont val="Tahoma"/>
        <family val="2"/>
      </rPr>
      <t xml:space="preserve">Name of the Company :
</t>
    </r>
    <r>
      <rPr>
        <b/>
        <sz val="5.5"/>
        <rFont val="Tahoma"/>
        <family val="2"/>
      </rPr>
      <t xml:space="preserve">Name of the Power Station :                                       </t>
    </r>
    <r>
      <rPr>
        <b/>
        <u/>
        <sz val="5.5"/>
        <rFont val="Tahoma"/>
        <family val="2"/>
      </rPr>
      <t>                                                                         </t>
    </r>
  </si>
  <si>
    <r>
      <rPr>
        <b/>
        <sz val="5.5"/>
        <rFont val="Tahoma"/>
        <family val="2"/>
      </rPr>
      <t>Sl.No.</t>
    </r>
  </si>
  <si>
    <r>
      <rPr>
        <b/>
        <sz val="5.5"/>
        <rFont val="Tahoma"/>
        <family val="2"/>
      </rPr>
      <t>Break Down</t>
    </r>
  </si>
  <si>
    <r>
      <rPr>
        <b/>
        <sz val="5.5"/>
        <rFont val="Tahoma"/>
        <family val="2"/>
      </rPr>
      <t>Cost in Rs. Crores</t>
    </r>
  </si>
  <si>
    <r>
      <rPr>
        <b/>
        <sz val="5.5"/>
        <rFont val="Tahoma"/>
        <family val="2"/>
      </rPr>
      <t>Variation (Rs. Cr.)</t>
    </r>
  </si>
  <si>
    <r>
      <rPr>
        <b/>
        <sz val="5.5"/>
        <rFont val="Tahoma"/>
        <family val="2"/>
      </rPr>
      <t>Reasons for Variation</t>
    </r>
  </si>
  <si>
    <r>
      <rPr>
        <b/>
        <sz val="5.5"/>
        <rFont val="Tahoma"/>
        <family val="2"/>
      </rPr>
      <t xml:space="preserve">Admitted Cost    (Rs.
</t>
    </r>
    <r>
      <rPr>
        <b/>
        <sz val="5.5"/>
        <rFont val="Tahoma"/>
        <family val="2"/>
      </rPr>
      <t>Cr.)</t>
    </r>
  </si>
  <si>
    <r>
      <rPr>
        <b/>
        <sz val="5.5"/>
        <rFont val="Tahoma"/>
        <family val="2"/>
      </rPr>
      <t>As per original Estimates</t>
    </r>
  </si>
  <si>
    <r>
      <rPr>
        <b/>
        <sz val="5.5"/>
        <rFont val="Tahoma"/>
        <family val="2"/>
      </rPr>
      <t>As  on COD</t>
    </r>
  </si>
  <si>
    <r>
      <rPr>
        <b/>
        <sz val="5.5"/>
        <rFont val="Tahoma"/>
        <family val="2"/>
      </rPr>
      <t>Cost of Land &amp; Site Development</t>
    </r>
  </si>
  <si>
    <r>
      <rPr>
        <sz val="5.5"/>
        <rFont val="Tahoma"/>
        <family val="2"/>
      </rPr>
      <t>Land</t>
    </r>
  </si>
  <si>
    <r>
      <rPr>
        <sz val="5.5"/>
        <rFont val="Tahoma"/>
        <family val="2"/>
      </rPr>
      <t>Rehabitation  &amp; Resettlement  (R&amp;R)</t>
    </r>
  </si>
  <si>
    <r>
      <rPr>
        <sz val="5.5"/>
        <rFont val="Tahoma"/>
        <family val="2"/>
      </rPr>
      <t>Preliminary Investigation &amp; Site development</t>
    </r>
  </si>
  <si>
    <r>
      <rPr>
        <b/>
        <sz val="5.5"/>
        <rFont val="Tahoma"/>
        <family val="2"/>
      </rPr>
      <t>Total  Land &amp; Site Development</t>
    </r>
  </si>
  <si>
    <r>
      <rPr>
        <b/>
        <sz val="5.5"/>
        <rFont val="Tahoma"/>
        <family val="2"/>
      </rPr>
      <t>Plant &amp; Equipment</t>
    </r>
  </si>
  <si>
    <r>
      <rPr>
        <b/>
        <sz val="5.5"/>
        <rFont val="Tahoma"/>
        <family val="2"/>
      </rPr>
      <t>Steam Generator Island</t>
    </r>
  </si>
  <si>
    <r>
      <rPr>
        <b/>
        <sz val="5.5"/>
        <rFont val="Tahoma"/>
        <family val="2"/>
      </rPr>
      <t>Turbine Generator Island</t>
    </r>
  </si>
  <si>
    <r>
      <rPr>
        <b/>
        <sz val="5.5"/>
        <rFont val="Tahoma"/>
        <family val="2"/>
      </rPr>
      <t>BOP Mechanical</t>
    </r>
  </si>
  <si>
    <r>
      <rPr>
        <sz val="5.5"/>
        <rFont val="Tahoma"/>
        <family val="2"/>
      </rPr>
      <t>2.3.1</t>
    </r>
  </si>
  <si>
    <r>
      <rPr>
        <sz val="5.5"/>
        <rFont val="Tahoma"/>
        <family val="2"/>
      </rPr>
      <t>External water supply system</t>
    </r>
  </si>
  <si>
    <r>
      <rPr>
        <sz val="5.5"/>
        <rFont val="Tahoma"/>
        <family val="2"/>
      </rPr>
      <t>2.3.2</t>
    </r>
  </si>
  <si>
    <r>
      <rPr>
        <sz val="5.5"/>
        <rFont val="Tahoma"/>
        <family val="2"/>
      </rPr>
      <t>CW system</t>
    </r>
  </si>
  <si>
    <r>
      <rPr>
        <sz val="5.5"/>
        <rFont val="Tahoma"/>
        <family val="2"/>
      </rPr>
      <t>2.3.3</t>
    </r>
  </si>
  <si>
    <r>
      <rPr>
        <sz val="5.5"/>
        <rFont val="Tahoma"/>
        <family val="2"/>
      </rPr>
      <t>DM water Plant</t>
    </r>
  </si>
  <si>
    <r>
      <rPr>
        <sz val="5.5"/>
        <rFont val="Tahoma"/>
        <family val="2"/>
      </rPr>
      <t>2.3.4</t>
    </r>
  </si>
  <si>
    <r>
      <rPr>
        <sz val="5.5"/>
        <rFont val="Tahoma"/>
        <family val="2"/>
      </rPr>
      <t>Clarification plant</t>
    </r>
  </si>
  <si>
    <r>
      <rPr>
        <sz val="5.5"/>
        <rFont val="Tahoma"/>
        <family val="2"/>
      </rPr>
      <t>2.3.5</t>
    </r>
  </si>
  <si>
    <r>
      <rPr>
        <sz val="5.5"/>
        <rFont val="Tahoma"/>
        <family val="2"/>
      </rPr>
      <t>Chlorination Plant</t>
    </r>
  </si>
  <si>
    <r>
      <rPr>
        <sz val="5.5"/>
        <rFont val="Tahoma"/>
        <family val="2"/>
      </rPr>
      <t>2.3.6</t>
    </r>
  </si>
  <si>
    <r>
      <rPr>
        <sz val="5.5"/>
        <rFont val="Tahoma"/>
        <family val="2"/>
      </rPr>
      <t>Fuel  Handiling &amp; Storage system</t>
    </r>
  </si>
  <si>
    <r>
      <rPr>
        <sz val="5.5"/>
        <rFont val="Tahoma"/>
        <family val="2"/>
      </rPr>
      <t>2.3.7</t>
    </r>
  </si>
  <si>
    <r>
      <rPr>
        <sz val="5.5"/>
        <rFont val="Tahoma"/>
        <family val="2"/>
      </rPr>
      <t>Ash Handling System</t>
    </r>
  </si>
  <si>
    <r>
      <rPr>
        <sz val="5.5"/>
        <rFont val="Tahoma"/>
        <family val="2"/>
      </rPr>
      <t>2.3.8</t>
    </r>
  </si>
  <si>
    <r>
      <rPr>
        <sz val="5.5"/>
        <rFont val="Tahoma"/>
        <family val="2"/>
      </rPr>
      <t>Coal Handling Plant</t>
    </r>
  </si>
  <si>
    <r>
      <rPr>
        <sz val="5.5"/>
        <rFont val="Tahoma"/>
        <family val="2"/>
      </rPr>
      <t>2.3.9</t>
    </r>
  </si>
  <si>
    <r>
      <rPr>
        <sz val="5.5"/>
        <rFont val="Tahoma"/>
        <family val="2"/>
      </rPr>
      <t>Rolling Stock and Locomotives</t>
    </r>
  </si>
  <si>
    <r>
      <rPr>
        <sz val="5.5"/>
        <rFont val="Tahoma"/>
        <family val="2"/>
      </rPr>
      <t>MGR</t>
    </r>
  </si>
  <si>
    <r>
      <rPr>
        <sz val="5.5"/>
        <rFont val="Tahoma"/>
        <family val="2"/>
      </rPr>
      <t>Air Compressor System</t>
    </r>
  </si>
  <si>
    <r>
      <rPr>
        <sz val="5.5"/>
        <rFont val="Tahoma"/>
        <family val="2"/>
      </rPr>
      <t>Air Condition &amp; Ventilation System</t>
    </r>
  </si>
  <si>
    <r>
      <rPr>
        <sz val="5.5"/>
        <rFont val="Tahoma"/>
        <family val="2"/>
      </rPr>
      <t>Fire fighting System</t>
    </r>
  </si>
  <si>
    <r>
      <rPr>
        <sz val="5.5"/>
        <rFont val="Tahoma"/>
        <family val="2"/>
      </rPr>
      <t>HP/LP Piping</t>
    </r>
  </si>
  <si>
    <r>
      <rPr>
        <b/>
        <sz val="5.5"/>
        <rFont val="Tahoma"/>
        <family val="2"/>
      </rPr>
      <t>Total BOP Mechanical</t>
    </r>
  </si>
  <si>
    <r>
      <rPr>
        <b/>
        <sz val="5.5"/>
        <rFont val="Tahoma"/>
        <family val="2"/>
      </rPr>
      <t>BOP Electrical</t>
    </r>
  </si>
  <si>
    <r>
      <rPr>
        <sz val="5.5"/>
        <rFont val="Tahoma"/>
        <family val="2"/>
      </rPr>
      <t>2.4.1</t>
    </r>
  </si>
  <si>
    <r>
      <rPr>
        <sz val="5.5"/>
        <rFont val="Tahoma"/>
        <family val="2"/>
      </rPr>
      <t>Switch Yard   Package</t>
    </r>
  </si>
  <si>
    <r>
      <rPr>
        <sz val="5.5"/>
        <rFont val="Tahoma"/>
        <family val="2"/>
      </rPr>
      <t>2.4.2</t>
    </r>
  </si>
  <si>
    <r>
      <rPr>
        <sz val="5.5"/>
        <rFont val="Tahoma"/>
        <family val="2"/>
      </rPr>
      <t>Transformers  Package</t>
    </r>
  </si>
  <si>
    <r>
      <rPr>
        <sz val="5.5"/>
        <rFont val="Tahoma"/>
        <family val="2"/>
      </rPr>
      <t>2.4.3</t>
    </r>
  </si>
  <si>
    <r>
      <rPr>
        <sz val="5.5"/>
        <rFont val="Tahoma"/>
        <family val="2"/>
      </rPr>
      <t>Switch gear  Package</t>
    </r>
  </si>
  <si>
    <r>
      <rPr>
        <sz val="5.5"/>
        <rFont val="Tahoma"/>
        <family val="2"/>
      </rPr>
      <t>2.4.4</t>
    </r>
  </si>
  <si>
    <r>
      <rPr>
        <sz val="5.5"/>
        <rFont val="Tahoma"/>
        <family val="2"/>
      </rPr>
      <t>Cables , Cable facilities &amp; grounding</t>
    </r>
  </si>
  <si>
    <r>
      <rPr>
        <sz val="5.5"/>
        <rFont val="Tahoma"/>
        <family val="2"/>
      </rPr>
      <t>2.4.5</t>
    </r>
  </si>
  <si>
    <r>
      <rPr>
        <sz val="5.5"/>
        <rFont val="Tahoma"/>
        <family val="2"/>
      </rPr>
      <t>Lighting</t>
    </r>
  </si>
  <si>
    <r>
      <rPr>
        <sz val="5.5"/>
        <rFont val="Tahoma"/>
        <family val="2"/>
      </rPr>
      <t>2.4.6</t>
    </r>
  </si>
  <si>
    <r>
      <rPr>
        <sz val="5.5"/>
        <rFont val="Tahoma"/>
        <family val="2"/>
      </rPr>
      <t>Emergency  D.G. set</t>
    </r>
  </si>
  <si>
    <r>
      <rPr>
        <b/>
        <sz val="5.5"/>
        <rFont val="Tahoma"/>
        <family val="2"/>
      </rPr>
      <t>Total BOP Electrical</t>
    </r>
  </si>
  <si>
    <r>
      <rPr>
        <b/>
        <sz val="5.5"/>
        <rFont val="Tahoma"/>
        <family val="2"/>
      </rPr>
      <t>C &amp; I   Package</t>
    </r>
  </si>
  <si>
    <r>
      <rPr>
        <b/>
        <sz val="5.5"/>
        <rFont val="Tahoma"/>
        <family val="2"/>
      </rPr>
      <t>Total  Plant  &amp;  Equipment  excluding  taxes &amp; Duties</t>
    </r>
  </si>
  <si>
    <r>
      <rPr>
        <b/>
        <sz val="5.5"/>
        <rFont val="Tahoma"/>
        <family val="2"/>
      </rPr>
      <t>Taxes and Duties</t>
    </r>
  </si>
  <si>
    <r>
      <rPr>
        <sz val="5.5"/>
        <rFont val="Tahoma"/>
        <family val="2"/>
      </rPr>
      <t>2.6.1</t>
    </r>
  </si>
  <si>
    <r>
      <rPr>
        <sz val="5.5"/>
        <rFont val="Tahoma"/>
        <family val="2"/>
      </rPr>
      <t>Custom Duty</t>
    </r>
  </si>
  <si>
    <r>
      <rPr>
        <sz val="5.5"/>
        <rFont val="Tahoma"/>
        <family val="2"/>
      </rPr>
      <t>2.6.2</t>
    </r>
  </si>
  <si>
    <r>
      <rPr>
        <sz val="5.5"/>
        <rFont val="Tahoma"/>
        <family val="2"/>
      </rPr>
      <t>Other Taxes &amp; Duties</t>
    </r>
  </si>
  <si>
    <r>
      <rPr>
        <b/>
        <sz val="5.5"/>
        <rFont val="Tahoma"/>
        <family val="2"/>
      </rPr>
      <t>Total Taxes &amp; Duties</t>
    </r>
  </si>
  <si>
    <r>
      <rPr>
        <b/>
        <sz val="5.5"/>
        <rFont val="Tahoma"/>
        <family val="2"/>
      </rPr>
      <t>Total Plant &amp; Equipment</t>
    </r>
  </si>
  <si>
    <r>
      <rPr>
        <b/>
        <sz val="5.5"/>
        <rFont val="Tahoma"/>
        <family val="2"/>
      </rPr>
      <t>Initial spares</t>
    </r>
  </si>
  <si>
    <r>
      <rPr>
        <b/>
        <sz val="5.5"/>
        <rFont val="Tahoma"/>
        <family val="2"/>
      </rPr>
      <t>Civil Works</t>
    </r>
  </si>
  <si>
    <r>
      <rPr>
        <sz val="5.5"/>
        <rFont val="Tahoma"/>
        <family val="2"/>
      </rPr>
      <t>Main plant/Adm. Building</t>
    </r>
  </si>
  <si>
    <r>
      <rPr>
        <sz val="5.5"/>
        <rFont val="Tahoma"/>
        <family val="2"/>
      </rPr>
      <t>Cooling Towers</t>
    </r>
  </si>
  <si>
    <r>
      <rPr>
        <sz val="5.5"/>
        <rFont val="Tahoma"/>
        <family val="2"/>
      </rPr>
      <t>chlorination plant</t>
    </r>
  </si>
  <si>
    <r>
      <rPr>
        <sz val="5.5"/>
        <rFont val="Tahoma"/>
        <family val="2"/>
      </rPr>
      <t>MGR &amp; Marshalling Yard</t>
    </r>
  </si>
  <si>
    <r>
      <rPr>
        <sz val="5.5"/>
        <rFont val="Tahoma"/>
        <family val="2"/>
      </rPr>
      <t>Ash disposal area development</t>
    </r>
  </si>
  <si>
    <r>
      <rPr>
        <sz val="5.5"/>
        <rFont val="Tahoma"/>
        <family val="2"/>
      </rPr>
      <t>Township &amp; Colony</t>
    </r>
  </si>
  <si>
    <r>
      <rPr>
        <sz val="5.5"/>
        <rFont val="Tahoma"/>
        <family val="2"/>
      </rPr>
      <t>Temp. construction &amp; enabling works</t>
    </r>
  </si>
  <si>
    <r>
      <rPr>
        <sz val="5.5"/>
        <rFont val="Tahoma"/>
        <family val="2"/>
      </rPr>
      <t>Road &amp; Drainage</t>
    </r>
  </si>
  <si>
    <r>
      <rPr>
        <b/>
        <sz val="5.5"/>
        <rFont val="Tahoma"/>
        <family val="2"/>
      </rPr>
      <t>Total Civil works</t>
    </r>
  </si>
  <si>
    <r>
      <rPr>
        <b/>
        <sz val="5.5"/>
        <rFont val="Tahoma"/>
        <family val="2"/>
      </rPr>
      <t>Construction     &amp;     Pre-     Commissioning Expences</t>
    </r>
  </si>
  <si>
    <r>
      <rPr>
        <sz val="5.5"/>
        <rFont val="Tahoma"/>
        <family val="2"/>
      </rPr>
      <t>Erection Testing and commissioning</t>
    </r>
  </si>
  <si>
    <r>
      <rPr>
        <sz val="5.5"/>
        <rFont val="Tahoma"/>
        <family val="2"/>
      </rPr>
      <t>Site supervision</t>
    </r>
  </si>
  <si>
    <r>
      <rPr>
        <sz val="5.5"/>
        <rFont val="Tahoma"/>
        <family val="2"/>
      </rPr>
      <t>Operator's Training</t>
    </r>
  </si>
  <si>
    <r>
      <rPr>
        <sz val="5.5"/>
        <rFont val="Tahoma"/>
        <family val="2"/>
      </rPr>
      <t>Construction Insurance</t>
    </r>
  </si>
  <si>
    <r>
      <rPr>
        <sz val="5.5"/>
        <rFont val="Tahoma"/>
        <family val="2"/>
      </rPr>
      <t>Tools &amp; Plant</t>
    </r>
  </si>
  <si>
    <r>
      <rPr>
        <sz val="5.5"/>
        <rFont val="Tahoma"/>
        <family val="2"/>
      </rPr>
      <t>Start up fuel</t>
    </r>
  </si>
  <si>
    <r>
      <rPr>
        <b/>
        <sz val="5.5"/>
        <rFont val="Tahoma"/>
        <family val="2"/>
      </rPr>
      <t>Total  Construction &amp; Pre- Commissioning Expences</t>
    </r>
  </si>
  <si>
    <r>
      <rPr>
        <b/>
        <sz val="5.5"/>
        <rFont val="Tahoma"/>
        <family val="2"/>
      </rPr>
      <t>Overheads</t>
    </r>
  </si>
  <si>
    <r>
      <rPr>
        <sz val="5.5"/>
        <rFont val="Tahoma"/>
        <family val="2"/>
      </rPr>
      <t>Establishment</t>
    </r>
  </si>
  <si>
    <r>
      <rPr>
        <sz val="5.5"/>
        <rFont val="Tahoma"/>
        <family val="2"/>
      </rPr>
      <t>Design &amp; Engineering</t>
    </r>
  </si>
  <si>
    <r>
      <rPr>
        <sz val="5.5"/>
        <rFont val="Tahoma"/>
        <family val="2"/>
      </rPr>
      <t>Audit &amp; Accounts</t>
    </r>
  </si>
  <si>
    <r>
      <rPr>
        <sz val="5.5"/>
        <rFont val="Tahoma"/>
        <family val="2"/>
      </rPr>
      <t>Contingency</t>
    </r>
  </si>
  <si>
    <r>
      <rPr>
        <b/>
        <sz val="5.5"/>
        <rFont val="Tahoma"/>
        <family val="2"/>
      </rPr>
      <t>Total Overheads</t>
    </r>
  </si>
  <si>
    <r>
      <rPr>
        <b/>
        <sz val="5.5"/>
        <rFont val="Tahoma"/>
        <family val="2"/>
      </rPr>
      <t>Capital cost excluding IDC &amp; FC</t>
    </r>
  </si>
  <si>
    <r>
      <rPr>
        <sz val="5.5"/>
        <rFont val="Tahoma"/>
        <family val="2"/>
      </rPr>
      <t>Interest During Construction (IDC)</t>
    </r>
  </si>
  <si>
    <r>
      <rPr>
        <sz val="5.5"/>
        <rFont val="Tahoma"/>
        <family val="2"/>
      </rPr>
      <t>Financing Charges (FC)</t>
    </r>
  </si>
  <si>
    <r>
      <rPr>
        <b/>
        <sz val="5.5"/>
        <rFont val="Tahoma"/>
        <family val="2"/>
      </rPr>
      <t>Capital cost including IDC &amp; FC</t>
    </r>
  </si>
  <si>
    <r>
      <rPr>
        <sz val="5.5"/>
        <rFont val="Tahoma"/>
        <family val="2"/>
      </rPr>
      <t>Note:</t>
    </r>
  </si>
  <si>
    <r>
      <rPr>
        <sz val="4.5"/>
        <rFont val="Arial"/>
        <family val="2"/>
      </rPr>
      <t>Appendix-I Part-I (Thermal).xls</t>
    </r>
  </si>
  <si>
    <r>
      <rPr>
        <b/>
        <sz val="6"/>
        <rFont val="Tahoma"/>
        <family val="2"/>
      </rPr>
      <t xml:space="preserve">PART-I
</t>
    </r>
    <r>
      <rPr>
        <b/>
        <sz val="6"/>
        <rFont val="Tahoma"/>
        <family val="2"/>
      </rPr>
      <t xml:space="preserve">FORM-5C
</t>
    </r>
    <r>
      <rPr>
        <b/>
        <sz val="6"/>
        <rFont val="Tahoma"/>
        <family val="2"/>
      </rPr>
      <t xml:space="preserve">Break-up of Capital Cost for Gas/Liquid fuel based Projects
</t>
    </r>
    <r>
      <rPr>
        <b/>
        <sz val="6"/>
        <rFont val="Tahoma"/>
        <family val="2"/>
      </rPr>
      <t xml:space="preserve">Name of the Company :
</t>
    </r>
    <r>
      <rPr>
        <b/>
        <sz val="6"/>
        <rFont val="Tahoma"/>
        <family val="2"/>
      </rPr>
      <t xml:space="preserve">Name of the Power Station :                                        </t>
    </r>
    <r>
      <rPr>
        <b/>
        <u/>
        <sz val="6"/>
        <rFont val="Tahoma"/>
        <family val="2"/>
      </rPr>
      <t>                                                                           </t>
    </r>
  </si>
  <si>
    <r>
      <rPr>
        <b/>
        <sz val="6"/>
        <rFont val="Tahoma"/>
        <family val="2"/>
      </rPr>
      <t>Sl.No.</t>
    </r>
  </si>
  <si>
    <r>
      <rPr>
        <b/>
        <sz val="6"/>
        <rFont val="Tahoma"/>
        <family val="2"/>
      </rPr>
      <t>Break Down</t>
    </r>
  </si>
  <si>
    <r>
      <rPr>
        <b/>
        <sz val="6"/>
        <rFont val="Tahoma"/>
        <family val="2"/>
      </rPr>
      <t>Cost in Rs. Crores</t>
    </r>
  </si>
  <si>
    <r>
      <rPr>
        <b/>
        <sz val="6"/>
        <rFont val="Tahoma"/>
        <family val="2"/>
      </rPr>
      <t>Variation ( Rs. Cr.)</t>
    </r>
  </si>
  <si>
    <r>
      <rPr>
        <b/>
        <sz val="6"/>
        <rFont val="Tahoma"/>
        <family val="2"/>
      </rPr>
      <t>Reasons for Variation</t>
    </r>
  </si>
  <si>
    <r>
      <rPr>
        <b/>
        <sz val="6"/>
        <rFont val="Tahoma"/>
        <family val="2"/>
      </rPr>
      <t xml:space="preserve">Admitted Cost    (Rs.
</t>
    </r>
    <r>
      <rPr>
        <b/>
        <sz val="6"/>
        <rFont val="Tahoma"/>
        <family val="2"/>
      </rPr>
      <t>Cr.)</t>
    </r>
  </si>
  <si>
    <r>
      <rPr>
        <b/>
        <sz val="6"/>
        <rFont val="Tahoma"/>
        <family val="2"/>
      </rPr>
      <t>As per original Estimates</t>
    </r>
  </si>
  <si>
    <r>
      <rPr>
        <b/>
        <sz val="6"/>
        <rFont val="Tahoma"/>
        <family val="2"/>
      </rPr>
      <t>As  on COD</t>
    </r>
  </si>
  <si>
    <r>
      <rPr>
        <b/>
        <sz val="6"/>
        <rFont val="Tahoma"/>
        <family val="2"/>
      </rPr>
      <t>Cost of Land &amp; Site Development</t>
    </r>
  </si>
  <si>
    <r>
      <rPr>
        <sz val="6"/>
        <rFont val="Tahoma"/>
        <family val="2"/>
      </rPr>
      <t>Land</t>
    </r>
  </si>
  <si>
    <r>
      <rPr>
        <sz val="6"/>
        <rFont val="Tahoma"/>
        <family val="2"/>
      </rPr>
      <t>Rehabilitation &amp; Resettlement (R&amp;R)</t>
    </r>
  </si>
  <si>
    <r>
      <rPr>
        <sz val="6"/>
        <rFont val="Tahoma"/>
        <family val="2"/>
      </rPr>
      <t>Preliminary Investigation &amp; Site development</t>
    </r>
  </si>
  <si>
    <r>
      <rPr>
        <b/>
        <sz val="6"/>
        <rFont val="Tahoma"/>
        <family val="2"/>
      </rPr>
      <t>Total  Land &amp; Site Development</t>
    </r>
  </si>
  <si>
    <r>
      <rPr>
        <b/>
        <sz val="6"/>
        <rFont val="Tahoma"/>
        <family val="2"/>
      </rPr>
      <t>Plant &amp; Equipment</t>
    </r>
  </si>
  <si>
    <r>
      <rPr>
        <b/>
        <sz val="6"/>
        <rFont val="Tahoma"/>
        <family val="2"/>
      </rPr>
      <t>Steam Turbine generator Island</t>
    </r>
  </si>
  <si>
    <r>
      <rPr>
        <b/>
        <sz val="6"/>
        <rFont val="Tahoma"/>
        <family val="2"/>
      </rPr>
      <t>Turbine Generator Island</t>
    </r>
  </si>
  <si>
    <r>
      <rPr>
        <b/>
        <sz val="6"/>
        <rFont val="Tahoma"/>
        <family val="2"/>
      </rPr>
      <t>WHRB Island</t>
    </r>
  </si>
  <si>
    <r>
      <rPr>
        <b/>
        <sz val="6"/>
        <rFont val="Tahoma"/>
        <family val="2"/>
      </rPr>
      <t>BOP Mechanical</t>
    </r>
  </si>
  <si>
    <r>
      <rPr>
        <sz val="6"/>
        <rFont val="Tahoma"/>
        <family val="2"/>
      </rPr>
      <t>2.4.1</t>
    </r>
  </si>
  <si>
    <r>
      <rPr>
        <sz val="6"/>
        <rFont val="Tahoma"/>
        <family val="2"/>
      </rPr>
      <t>Fuel Handling &amp; Storage system</t>
    </r>
  </si>
  <si>
    <r>
      <rPr>
        <sz val="6"/>
        <rFont val="Tahoma"/>
        <family val="2"/>
      </rPr>
      <t>2.4.2</t>
    </r>
  </si>
  <si>
    <r>
      <rPr>
        <sz val="6"/>
        <rFont val="Tahoma"/>
        <family val="2"/>
      </rPr>
      <t>External water supply system</t>
    </r>
  </si>
  <si>
    <r>
      <rPr>
        <sz val="6"/>
        <rFont val="Tahoma"/>
        <family val="2"/>
      </rPr>
      <t>2.4.3</t>
    </r>
  </si>
  <si>
    <r>
      <rPr>
        <sz val="6"/>
        <rFont val="Tahoma"/>
        <family val="2"/>
      </rPr>
      <t>CW system</t>
    </r>
  </si>
  <si>
    <r>
      <rPr>
        <sz val="6"/>
        <rFont val="Tahoma"/>
        <family val="2"/>
      </rPr>
      <t>2.4.4</t>
    </r>
  </si>
  <si>
    <r>
      <rPr>
        <sz val="6"/>
        <rFont val="Tahoma"/>
        <family val="2"/>
      </rPr>
      <t>Cooling Towers</t>
    </r>
  </si>
  <si>
    <r>
      <rPr>
        <sz val="6"/>
        <rFont val="Tahoma"/>
        <family val="2"/>
      </rPr>
      <t>2.4.5</t>
    </r>
  </si>
  <si>
    <r>
      <rPr>
        <sz val="6"/>
        <rFont val="Tahoma"/>
        <family val="2"/>
      </rPr>
      <t>DM water Plant</t>
    </r>
  </si>
  <si>
    <r>
      <rPr>
        <sz val="6"/>
        <rFont val="Tahoma"/>
        <family val="2"/>
      </rPr>
      <t>2.4.6</t>
    </r>
  </si>
  <si>
    <r>
      <rPr>
        <sz val="6"/>
        <rFont val="Tahoma"/>
        <family val="2"/>
      </rPr>
      <t>Clarification plant</t>
    </r>
  </si>
  <si>
    <r>
      <rPr>
        <sz val="6"/>
        <rFont val="Tahoma"/>
        <family val="2"/>
      </rPr>
      <t>2.4.7</t>
    </r>
  </si>
  <si>
    <r>
      <rPr>
        <sz val="6"/>
        <rFont val="Tahoma"/>
        <family val="2"/>
      </rPr>
      <t>Chlorination Plant</t>
    </r>
  </si>
  <si>
    <r>
      <rPr>
        <sz val="6"/>
        <rFont val="Tahoma"/>
        <family val="2"/>
      </rPr>
      <t>2.4.8</t>
    </r>
  </si>
  <si>
    <r>
      <rPr>
        <sz val="6"/>
        <rFont val="Tahoma"/>
        <family val="2"/>
      </rPr>
      <t>Air condition &amp; Ventilation System</t>
    </r>
  </si>
  <si>
    <r>
      <rPr>
        <sz val="6"/>
        <rFont val="Tahoma"/>
        <family val="2"/>
      </rPr>
      <t>2.4.9</t>
    </r>
  </si>
  <si>
    <r>
      <rPr>
        <sz val="6"/>
        <rFont val="Tahoma"/>
        <family val="2"/>
      </rPr>
      <t>Fire Fighting system</t>
    </r>
  </si>
  <si>
    <r>
      <rPr>
        <sz val="6"/>
        <rFont val="Tahoma"/>
        <family val="2"/>
      </rPr>
      <t xml:space="preserve">HP/LP Piping
</t>
    </r>
    <r>
      <rPr>
        <b/>
        <sz val="6"/>
        <rFont val="Tahoma"/>
        <family val="2"/>
      </rPr>
      <t>Total BOP Mechanical</t>
    </r>
  </si>
  <si>
    <r>
      <rPr>
        <b/>
        <sz val="6"/>
        <rFont val="Tahoma"/>
        <family val="2"/>
      </rPr>
      <t>BOP Electrical</t>
    </r>
  </si>
  <si>
    <r>
      <rPr>
        <sz val="6"/>
        <rFont val="Tahoma"/>
        <family val="2"/>
      </rPr>
      <t>2.5.1</t>
    </r>
  </si>
  <si>
    <r>
      <rPr>
        <sz val="6"/>
        <rFont val="Tahoma"/>
        <family val="2"/>
      </rPr>
      <t>Switch Yard   Package</t>
    </r>
  </si>
  <si>
    <r>
      <rPr>
        <sz val="6"/>
        <rFont val="Tahoma"/>
        <family val="2"/>
      </rPr>
      <t>2.5.2</t>
    </r>
  </si>
  <si>
    <r>
      <rPr>
        <sz val="6"/>
        <rFont val="Tahoma"/>
        <family val="2"/>
      </rPr>
      <t>Transformers package</t>
    </r>
  </si>
  <si>
    <r>
      <rPr>
        <sz val="6"/>
        <rFont val="Tahoma"/>
        <family val="2"/>
      </rPr>
      <t>2.5.3</t>
    </r>
  </si>
  <si>
    <r>
      <rPr>
        <sz val="6"/>
        <rFont val="Tahoma"/>
        <family val="2"/>
      </rPr>
      <t>Switch gear  Package</t>
    </r>
  </si>
  <si>
    <r>
      <rPr>
        <sz val="6"/>
        <rFont val="Tahoma"/>
        <family val="2"/>
      </rPr>
      <t>2.5.4</t>
    </r>
  </si>
  <si>
    <r>
      <rPr>
        <sz val="6"/>
        <rFont val="Tahoma"/>
        <family val="2"/>
      </rPr>
      <t>Cable , Cable Facilities &amp; grounding</t>
    </r>
  </si>
  <si>
    <r>
      <rPr>
        <sz val="6"/>
        <rFont val="Tahoma"/>
        <family val="2"/>
      </rPr>
      <t>2.5.5</t>
    </r>
  </si>
  <si>
    <r>
      <rPr>
        <sz val="6"/>
        <rFont val="Tahoma"/>
        <family val="2"/>
      </rPr>
      <t>Lighting</t>
    </r>
  </si>
  <si>
    <r>
      <rPr>
        <sz val="6"/>
        <rFont val="Tahoma"/>
        <family val="2"/>
      </rPr>
      <t>2.5.6</t>
    </r>
  </si>
  <si>
    <r>
      <rPr>
        <sz val="6"/>
        <rFont val="Tahoma"/>
        <family val="2"/>
      </rPr>
      <t>Emergency  D.G. set</t>
    </r>
  </si>
  <si>
    <r>
      <rPr>
        <b/>
        <sz val="6"/>
        <rFont val="Tahoma"/>
        <family val="2"/>
      </rPr>
      <t>Total BOP Electrical</t>
    </r>
  </si>
  <si>
    <r>
      <rPr>
        <b/>
        <sz val="6"/>
        <rFont val="Tahoma"/>
        <family val="2"/>
      </rPr>
      <t>C &amp; I  Package</t>
    </r>
  </si>
  <si>
    <r>
      <rPr>
        <b/>
        <sz val="6"/>
        <rFont val="Tahoma"/>
        <family val="2"/>
      </rPr>
      <t>Total  Plant  &amp;  Equipment  excluding  taxes &amp; Duties</t>
    </r>
  </si>
  <si>
    <r>
      <rPr>
        <b/>
        <sz val="6"/>
        <rFont val="Tahoma"/>
        <family val="2"/>
      </rPr>
      <t>Taxes and Duties</t>
    </r>
  </si>
  <si>
    <r>
      <rPr>
        <sz val="6"/>
        <rFont val="Tahoma"/>
        <family val="2"/>
      </rPr>
      <t>2.7.1</t>
    </r>
  </si>
  <si>
    <r>
      <rPr>
        <sz val="6"/>
        <rFont val="Tahoma"/>
        <family val="2"/>
      </rPr>
      <t>Custom Duty</t>
    </r>
  </si>
  <si>
    <r>
      <rPr>
        <sz val="6"/>
        <rFont val="Tahoma"/>
        <family val="2"/>
      </rPr>
      <t>2.7.2</t>
    </r>
  </si>
  <si>
    <r>
      <rPr>
        <sz val="6"/>
        <rFont val="Tahoma"/>
        <family val="2"/>
      </rPr>
      <t>Other Taxes &amp; Duties</t>
    </r>
  </si>
  <si>
    <r>
      <rPr>
        <b/>
        <sz val="6"/>
        <rFont val="Tahoma"/>
        <family val="2"/>
      </rPr>
      <t>Total Taxes &amp; Duties</t>
    </r>
  </si>
  <si>
    <r>
      <rPr>
        <b/>
        <sz val="6"/>
        <rFont val="Tahoma"/>
        <family val="2"/>
      </rPr>
      <t>Total Plant &amp; Equipment</t>
    </r>
  </si>
  <si>
    <r>
      <rPr>
        <b/>
        <sz val="6"/>
        <rFont val="Tahoma"/>
        <family val="2"/>
      </rPr>
      <t>Initial spares</t>
    </r>
  </si>
  <si>
    <r>
      <rPr>
        <b/>
        <sz val="6"/>
        <rFont val="Tahoma"/>
        <family val="2"/>
      </rPr>
      <t>Civil Works</t>
    </r>
  </si>
  <si>
    <r>
      <rPr>
        <sz val="6"/>
        <rFont val="Tahoma"/>
        <family val="2"/>
      </rPr>
      <t>Main plant/Adm. Building</t>
    </r>
  </si>
  <si>
    <r>
      <rPr>
        <sz val="6"/>
        <rFont val="Tahoma"/>
        <family val="2"/>
      </rPr>
      <t>Township &amp; Colony</t>
    </r>
  </si>
  <si>
    <r>
      <rPr>
        <sz val="6"/>
        <rFont val="Tahoma"/>
        <family val="2"/>
      </rPr>
      <t>Temp. construction &amp; enabling works</t>
    </r>
  </si>
  <si>
    <r>
      <rPr>
        <sz val="6"/>
        <rFont val="Tahoma"/>
        <family val="2"/>
      </rPr>
      <t>Road &amp; Drainage</t>
    </r>
  </si>
  <si>
    <r>
      <rPr>
        <b/>
        <sz val="6"/>
        <rFont val="Tahoma"/>
        <family val="2"/>
      </rPr>
      <t>Total Civil works</t>
    </r>
  </si>
  <si>
    <r>
      <rPr>
        <b/>
        <sz val="6"/>
        <rFont val="Tahoma"/>
        <family val="2"/>
      </rPr>
      <t>Construction     &amp;     Pre-     Commissioning Expences</t>
    </r>
  </si>
  <si>
    <r>
      <rPr>
        <sz val="6"/>
        <rFont val="Tahoma"/>
        <family val="2"/>
      </rPr>
      <t>Erection Testing and commissioning</t>
    </r>
  </si>
  <si>
    <r>
      <rPr>
        <sz val="6"/>
        <rFont val="Tahoma"/>
        <family val="2"/>
      </rPr>
      <t>Site supervision</t>
    </r>
  </si>
  <si>
    <r>
      <rPr>
        <sz val="6"/>
        <rFont val="Tahoma"/>
        <family val="2"/>
      </rPr>
      <t>Operator's Training</t>
    </r>
  </si>
  <si>
    <r>
      <rPr>
        <sz val="6"/>
        <rFont val="Tahoma"/>
        <family val="2"/>
      </rPr>
      <t>Construction Insurance</t>
    </r>
  </si>
  <si>
    <r>
      <rPr>
        <sz val="6"/>
        <rFont val="Tahoma"/>
        <family val="2"/>
      </rPr>
      <t>Tools &amp; Plant</t>
    </r>
  </si>
  <si>
    <r>
      <rPr>
        <sz val="6"/>
        <rFont val="Tahoma"/>
        <family val="2"/>
      </rPr>
      <t>Start up fuel</t>
    </r>
  </si>
  <si>
    <r>
      <rPr>
        <b/>
        <sz val="6"/>
        <rFont val="Tahoma"/>
        <family val="2"/>
      </rPr>
      <t>Total  Construction &amp; Pre- Commissioning Expences</t>
    </r>
  </si>
  <si>
    <r>
      <rPr>
        <b/>
        <sz val="6"/>
        <rFont val="Tahoma"/>
        <family val="2"/>
      </rPr>
      <t>Overheads</t>
    </r>
  </si>
  <si>
    <r>
      <rPr>
        <sz val="6"/>
        <rFont val="Tahoma"/>
        <family val="2"/>
      </rPr>
      <t>Establishment</t>
    </r>
  </si>
  <si>
    <r>
      <rPr>
        <sz val="6"/>
        <rFont val="Tahoma"/>
        <family val="2"/>
      </rPr>
      <t>Design &amp; Engineering</t>
    </r>
  </si>
  <si>
    <r>
      <rPr>
        <sz val="6"/>
        <rFont val="Tahoma"/>
        <family val="2"/>
      </rPr>
      <t>Audit &amp; Accounts</t>
    </r>
  </si>
  <si>
    <r>
      <rPr>
        <sz val="6"/>
        <rFont val="Tahoma"/>
        <family val="2"/>
      </rPr>
      <t>Contingency</t>
    </r>
  </si>
  <si>
    <r>
      <rPr>
        <b/>
        <sz val="6"/>
        <rFont val="Tahoma"/>
        <family val="2"/>
      </rPr>
      <t>Total Overheads</t>
    </r>
  </si>
  <si>
    <r>
      <rPr>
        <b/>
        <sz val="6"/>
        <rFont val="Tahoma"/>
        <family val="2"/>
      </rPr>
      <t>Capital cost excluding IDC &amp; FC</t>
    </r>
  </si>
  <si>
    <r>
      <rPr>
        <sz val="6"/>
        <rFont val="Tahoma"/>
        <family val="2"/>
      </rPr>
      <t>Interest During Construction (IDC)</t>
    </r>
  </si>
  <si>
    <r>
      <rPr>
        <sz val="6"/>
        <rFont val="Tahoma"/>
        <family val="2"/>
      </rPr>
      <t>Financing Charges (FC)</t>
    </r>
  </si>
  <si>
    <r>
      <rPr>
        <b/>
        <sz val="6"/>
        <rFont val="Tahoma"/>
        <family val="2"/>
      </rPr>
      <t>Capital cost including IDC &amp; FC</t>
    </r>
  </si>
  <si>
    <r>
      <rPr>
        <sz val="6"/>
        <rFont val="Tahoma"/>
        <family val="2"/>
      </rPr>
      <t>Note:</t>
    </r>
  </si>
  <si>
    <r>
      <rPr>
        <b/>
        <sz val="6"/>
        <rFont val="Tahoma"/>
        <family val="2"/>
      </rPr>
      <t>PETITIONER</t>
    </r>
  </si>
  <si>
    <r>
      <rPr>
        <b/>
        <sz val="6"/>
        <rFont val="Tahoma"/>
        <family val="2"/>
      </rPr>
      <t xml:space="preserve">PART-I
</t>
    </r>
    <r>
      <rPr>
        <b/>
        <sz val="6"/>
        <rFont val="Tahoma"/>
        <family val="2"/>
      </rPr>
      <t xml:space="preserve">Break-up of Construction/Supply/Service packages                                                                                                          FORM-5D
</t>
    </r>
    <r>
      <rPr>
        <b/>
        <sz val="6"/>
        <rFont val="Tahoma"/>
        <family val="2"/>
      </rPr>
      <t>Name of the Company : Name of the Power Station :</t>
    </r>
  </si>
  <si>
    <r>
      <rPr>
        <b/>
        <sz val="6"/>
        <rFont val="Tahoma"/>
        <family val="2"/>
      </rPr>
      <t>Name/No.    of Construction  / Supply            / Service Package</t>
    </r>
  </si>
  <si>
    <r>
      <rPr>
        <b/>
        <sz val="6"/>
        <rFont val="Tahoma"/>
        <family val="2"/>
      </rPr>
      <t>Scope   of   works</t>
    </r>
    <r>
      <rPr>
        <b/>
        <vertAlign val="superscript"/>
        <sz val="3.5"/>
        <rFont val="Tahoma"/>
        <family val="2"/>
      </rPr>
      <t xml:space="preserve">1  </t>
    </r>
    <r>
      <rPr>
        <b/>
        <sz val="6"/>
        <rFont val="Tahoma"/>
        <family val="2"/>
      </rPr>
      <t>(in   line with  head  of  cost  break- ups as applicable)</t>
    </r>
  </si>
  <si>
    <r>
      <rPr>
        <b/>
        <sz val="6"/>
        <rFont val="Tahoma"/>
        <family val="2"/>
      </rPr>
      <t>Whether     awarded through    ICB/DCB/ Depatmentally/ Deposit Work</t>
    </r>
  </si>
  <si>
    <r>
      <rPr>
        <b/>
        <sz val="6"/>
        <rFont val="Tahoma"/>
        <family val="2"/>
      </rPr>
      <t>No.  of  bids received</t>
    </r>
  </si>
  <si>
    <r>
      <rPr>
        <b/>
        <sz val="6"/>
        <rFont val="Tahoma"/>
        <family val="2"/>
      </rPr>
      <t>Date  of Award</t>
    </r>
  </si>
  <si>
    <r>
      <rPr>
        <b/>
        <sz val="6"/>
        <rFont val="Tahoma"/>
        <family val="2"/>
      </rPr>
      <t xml:space="preserve">Date    of
</t>
    </r>
    <r>
      <rPr>
        <b/>
        <sz val="6"/>
        <rFont val="Tahoma"/>
        <family val="2"/>
      </rPr>
      <t>Start    of work</t>
    </r>
  </si>
  <si>
    <r>
      <rPr>
        <b/>
        <sz val="6"/>
        <rFont val="Tahoma"/>
        <family val="2"/>
      </rPr>
      <t>Date           of Completion of Work</t>
    </r>
  </si>
  <si>
    <r>
      <rPr>
        <b/>
        <sz val="6"/>
        <rFont val="Tahoma"/>
        <family val="2"/>
      </rPr>
      <t xml:space="preserve">Value        of
</t>
    </r>
    <r>
      <rPr>
        <b/>
        <sz val="6"/>
        <rFont val="Tahoma"/>
        <family val="2"/>
      </rPr>
      <t>Award</t>
    </r>
    <r>
      <rPr>
        <b/>
        <vertAlign val="superscript"/>
        <sz val="3.5"/>
        <rFont val="Tahoma"/>
        <family val="2"/>
      </rPr>
      <t xml:space="preserve">2     </t>
    </r>
    <r>
      <rPr>
        <b/>
        <sz val="6"/>
        <rFont val="Tahoma"/>
        <family val="2"/>
      </rPr>
      <t>in (Rs. Cr.)</t>
    </r>
  </si>
  <si>
    <r>
      <rPr>
        <b/>
        <sz val="6"/>
        <rFont val="Tahoma"/>
        <family val="2"/>
      </rPr>
      <t>Firm         or With Escalation in prices</t>
    </r>
  </si>
  <si>
    <r>
      <rPr>
        <b/>
        <sz val="6"/>
        <rFont val="Tahoma"/>
        <family val="2"/>
      </rPr>
      <t xml:space="preserve">Actual expenditure       till the  completion  or up        to        COD
</t>
    </r>
    <r>
      <rPr>
        <b/>
        <sz val="6"/>
        <rFont val="Tahoma"/>
        <family val="2"/>
      </rPr>
      <t>whichever           is earlier(Rs.Cr.)</t>
    </r>
  </si>
  <si>
    <r>
      <rPr>
        <vertAlign val="superscript"/>
        <sz val="3.5"/>
        <rFont val="Tahoma"/>
        <family val="2"/>
      </rPr>
      <t xml:space="preserve">1 </t>
    </r>
    <r>
      <rPr>
        <sz val="6"/>
        <rFont val="Tahoma"/>
        <family val="2"/>
      </rPr>
      <t>The scope of work in any package should be indicated in conformity of Capital cost break-up for the coal/lignite based plants in the FORM-5B to the extent possible.  In case of Gas/Liquid fuel based projects, break down in the similar manner in the relevent heads as per FORM-5C.</t>
    </r>
  </si>
  <si>
    <r>
      <rPr>
        <vertAlign val="superscript"/>
        <sz val="3.5"/>
        <rFont val="Tahoma"/>
        <family val="2"/>
      </rPr>
      <t xml:space="preserve">2 </t>
    </r>
    <r>
      <rPr>
        <sz val="6"/>
        <rFont val="Tahoma"/>
        <family val="2"/>
      </rPr>
      <t>If there is  any package, which need to be shown in Indian Rupee and foreign currency(ies), the same should be shown separatly alongwith the currency, the exchange rate and the date e.g. Rs.80 Cr+US$50m=Rs.280Cr at US$=Rs40 as on say 4.1.1999.</t>
    </r>
  </si>
  <si>
    <r>
      <rPr>
        <b/>
        <sz val="8.5"/>
        <rFont val="Tahoma"/>
        <family val="2"/>
      </rPr>
      <t>Details of Allocation  of  corporate loans to various projects</t>
    </r>
  </si>
  <si>
    <r>
      <rPr>
        <b/>
        <sz val="8.5"/>
        <rFont val="Tahoma"/>
        <family val="2"/>
      </rPr>
      <t>Name of the Company</t>
    </r>
  </si>
  <si>
    <r>
      <rPr>
        <b/>
        <sz val="8.5"/>
        <rFont val="Tahoma"/>
        <family val="2"/>
      </rPr>
      <t xml:space="preserve">Name of the Power Station                                                </t>
    </r>
    <r>
      <rPr>
        <b/>
        <u/>
        <sz val="8.5"/>
        <rFont val="Tahoma"/>
        <family val="2"/>
      </rPr>
      <t>                                                           </t>
    </r>
  </si>
  <si>
    <r>
      <rPr>
        <sz val="8.5"/>
        <rFont val="Tahoma"/>
        <family val="2"/>
      </rPr>
      <t>(Amount in lacs)</t>
    </r>
  </si>
  <si>
    <r>
      <rPr>
        <b/>
        <sz val="8.5"/>
        <rFont val="Tahoma"/>
        <family val="2"/>
      </rPr>
      <t>Particulars</t>
    </r>
  </si>
  <si>
    <r>
      <rPr>
        <b/>
        <sz val="8.5"/>
        <rFont val="Tahoma"/>
        <family val="2"/>
      </rPr>
      <t>Package1</t>
    </r>
  </si>
  <si>
    <r>
      <rPr>
        <b/>
        <sz val="8.5"/>
        <rFont val="Tahoma"/>
        <family val="2"/>
      </rPr>
      <t>Package2</t>
    </r>
  </si>
  <si>
    <r>
      <rPr>
        <b/>
        <sz val="8.5"/>
        <rFont val="Tahoma"/>
        <family val="2"/>
      </rPr>
      <t>Package3</t>
    </r>
  </si>
  <si>
    <r>
      <rPr>
        <b/>
        <sz val="8.5"/>
        <rFont val="Tahoma"/>
        <family val="2"/>
      </rPr>
      <t>Package4</t>
    </r>
  </si>
  <si>
    <r>
      <rPr>
        <b/>
        <sz val="8.5"/>
        <rFont val="Tahoma"/>
        <family val="2"/>
      </rPr>
      <t>Package5</t>
    </r>
  </si>
  <si>
    <r>
      <rPr>
        <b/>
        <sz val="8.5"/>
        <rFont val="Tahoma"/>
        <family val="2"/>
      </rPr>
      <t>Remarks</t>
    </r>
  </si>
  <si>
    <r>
      <rPr>
        <sz val="8.5"/>
        <rFont val="Tahoma"/>
        <family val="2"/>
      </rPr>
      <t>Source of Loan</t>
    </r>
    <r>
      <rPr>
        <vertAlign val="superscript"/>
        <sz val="5"/>
        <rFont val="Tahoma"/>
        <family val="2"/>
      </rPr>
      <t>1</t>
    </r>
  </si>
  <si>
    <r>
      <rPr>
        <sz val="8.5"/>
        <rFont val="Tahoma"/>
        <family val="2"/>
      </rPr>
      <t>Currency</t>
    </r>
    <r>
      <rPr>
        <vertAlign val="superscript"/>
        <sz val="5"/>
        <rFont val="Tahoma"/>
        <family val="2"/>
      </rPr>
      <t>2</t>
    </r>
  </si>
  <si>
    <r>
      <rPr>
        <sz val="8.5"/>
        <rFont val="Tahoma"/>
        <family val="2"/>
      </rPr>
      <t>Amount of Loan sanctioned</t>
    </r>
  </si>
  <si>
    <r>
      <rPr>
        <sz val="8.5"/>
        <rFont val="Tahoma"/>
        <family val="2"/>
      </rPr>
      <t xml:space="preserve">Amount of Gross Loan drawn upto
</t>
    </r>
    <r>
      <rPr>
        <sz val="8.5"/>
        <rFont val="Tahoma"/>
        <family val="2"/>
      </rPr>
      <t xml:space="preserve">31.03.2004/COD </t>
    </r>
    <r>
      <rPr>
        <vertAlign val="superscript"/>
        <sz val="5"/>
        <rFont val="Tahoma"/>
        <family val="2"/>
      </rPr>
      <t>3,4,5,13,15</t>
    </r>
  </si>
  <si>
    <r>
      <rPr>
        <sz val="8.5"/>
        <rFont val="Tahoma"/>
        <family val="2"/>
      </rPr>
      <t>Interest Type</t>
    </r>
    <r>
      <rPr>
        <vertAlign val="superscript"/>
        <sz val="5"/>
        <rFont val="Tahoma"/>
        <family val="2"/>
      </rPr>
      <t>6</t>
    </r>
  </si>
  <si>
    <r>
      <rPr>
        <sz val="8.5"/>
        <rFont val="Tahoma"/>
        <family val="2"/>
      </rPr>
      <t>Fixed Interest Rate, if applicable</t>
    </r>
  </si>
  <si>
    <r>
      <rPr>
        <sz val="8.5"/>
        <rFont val="Tahoma"/>
        <family val="2"/>
      </rPr>
      <t>Base Rate, if Floating Interest</t>
    </r>
    <r>
      <rPr>
        <vertAlign val="superscript"/>
        <sz val="5"/>
        <rFont val="Tahoma"/>
        <family val="2"/>
      </rPr>
      <t>7</t>
    </r>
  </si>
  <si>
    <r>
      <rPr>
        <sz val="8.5"/>
        <rFont val="Tahoma"/>
        <family val="2"/>
      </rPr>
      <t>Margin, if Floating Interest</t>
    </r>
    <r>
      <rPr>
        <vertAlign val="superscript"/>
        <sz val="5"/>
        <rFont val="Tahoma"/>
        <family val="2"/>
      </rPr>
      <t>8</t>
    </r>
  </si>
  <si>
    <r>
      <rPr>
        <sz val="8.5"/>
        <rFont val="Tahoma"/>
        <family val="2"/>
      </rPr>
      <t>Are there any Caps/Floor</t>
    </r>
    <r>
      <rPr>
        <vertAlign val="superscript"/>
        <sz val="5"/>
        <rFont val="Tahoma"/>
        <family val="2"/>
      </rPr>
      <t>9</t>
    </r>
  </si>
  <si>
    <r>
      <rPr>
        <sz val="8.5"/>
        <rFont val="Tahoma"/>
        <family val="2"/>
      </rPr>
      <t>Yes/No</t>
    </r>
  </si>
  <si>
    <r>
      <rPr>
        <sz val="8.5"/>
        <rFont val="Tahoma"/>
        <family val="2"/>
      </rPr>
      <t>If above is yes,specify caps/floor</t>
    </r>
  </si>
  <si>
    <r>
      <rPr>
        <sz val="8.5"/>
        <rFont val="Tahoma"/>
        <family val="2"/>
      </rPr>
      <t>Moratorium Period</t>
    </r>
    <r>
      <rPr>
        <vertAlign val="superscript"/>
        <sz val="5"/>
        <rFont val="Tahoma"/>
        <family val="2"/>
      </rPr>
      <t>10</t>
    </r>
  </si>
  <si>
    <r>
      <rPr>
        <sz val="8.5"/>
        <rFont val="Tahoma"/>
        <family val="2"/>
      </rPr>
      <t>Moratorium effective from</t>
    </r>
  </si>
  <si>
    <r>
      <rPr>
        <sz val="8.5"/>
        <rFont val="Tahoma"/>
        <family val="2"/>
      </rPr>
      <t>Repayment Period</t>
    </r>
    <r>
      <rPr>
        <vertAlign val="superscript"/>
        <sz val="5"/>
        <rFont val="Tahoma"/>
        <family val="2"/>
      </rPr>
      <t>11</t>
    </r>
  </si>
  <si>
    <r>
      <rPr>
        <sz val="8.5"/>
        <rFont val="Tahoma"/>
        <family val="2"/>
      </rPr>
      <t>Repayment effective from</t>
    </r>
  </si>
  <si>
    <r>
      <rPr>
        <sz val="8.5"/>
        <rFont val="Tahoma"/>
        <family val="2"/>
      </rPr>
      <t>Repayment Frequency</t>
    </r>
    <r>
      <rPr>
        <vertAlign val="superscript"/>
        <sz val="5"/>
        <rFont val="Tahoma"/>
        <family val="2"/>
      </rPr>
      <t>12</t>
    </r>
  </si>
  <si>
    <r>
      <rPr>
        <sz val="8.5"/>
        <rFont val="Tahoma"/>
        <family val="2"/>
      </rPr>
      <t>Repayment Instalment</t>
    </r>
    <r>
      <rPr>
        <vertAlign val="superscript"/>
        <sz val="5"/>
        <rFont val="Tahoma"/>
        <family val="2"/>
      </rPr>
      <t>13,14</t>
    </r>
  </si>
  <si>
    <r>
      <rPr>
        <sz val="8.5"/>
        <rFont val="Tahoma"/>
        <family val="2"/>
      </rPr>
      <t>Base Exchange Rate</t>
    </r>
    <r>
      <rPr>
        <vertAlign val="superscript"/>
        <sz val="5"/>
        <rFont val="Tahoma"/>
        <family val="2"/>
      </rPr>
      <t>16</t>
    </r>
  </si>
  <si>
    <r>
      <rPr>
        <sz val="8.5"/>
        <rFont val="Tahoma"/>
        <family val="2"/>
      </rPr>
      <t>Distribution o</t>
    </r>
  </si>
  <si>
    <r>
      <rPr>
        <sz val="8.5"/>
        <rFont val="Tahoma"/>
        <family val="2"/>
      </rPr>
      <t>f loan packa</t>
    </r>
  </si>
  <si>
    <r>
      <rPr>
        <sz val="8.5"/>
        <rFont val="Tahoma"/>
        <family val="2"/>
      </rPr>
      <t>ges to variou</t>
    </r>
  </si>
  <si>
    <r>
      <rPr>
        <sz val="8.5"/>
        <rFont val="Tahoma"/>
        <family val="2"/>
      </rPr>
      <t>s projects</t>
    </r>
  </si>
  <si>
    <r>
      <rPr>
        <sz val="8.5"/>
        <rFont val="Tahoma"/>
        <family val="2"/>
      </rPr>
      <t>Name of the Projects</t>
    </r>
  </si>
  <si>
    <r>
      <rPr>
        <sz val="8.5"/>
        <rFont val="Tahoma"/>
        <family val="2"/>
      </rPr>
      <t>Total</t>
    </r>
  </si>
  <si>
    <r>
      <rPr>
        <sz val="8.5"/>
        <rFont val="Tahoma"/>
        <family val="2"/>
      </rPr>
      <t>Project 1</t>
    </r>
  </si>
  <si>
    <r>
      <rPr>
        <sz val="8.5"/>
        <rFont val="Tahoma"/>
        <family val="2"/>
      </rPr>
      <t>Project 2</t>
    </r>
  </si>
  <si>
    <r>
      <rPr>
        <sz val="8.5"/>
        <rFont val="Tahoma"/>
        <family val="2"/>
      </rPr>
      <t>Project 3 and so on</t>
    </r>
  </si>
  <si>
    <r>
      <rPr>
        <vertAlign val="superscript"/>
        <sz val="5"/>
        <rFont val="Tahoma"/>
        <family val="2"/>
      </rPr>
      <t xml:space="preserve">1 </t>
    </r>
    <r>
      <rPr>
        <sz val="8.5"/>
        <rFont val="Tahoma"/>
        <family val="2"/>
      </rPr>
      <t>Source of loan means the agency from whom the loan has been taken such as WB, ADB, WMB, PNB, SBI, ICICI, IFC, PFC etc.</t>
    </r>
  </si>
  <si>
    <r>
      <rPr>
        <vertAlign val="superscript"/>
        <sz val="5"/>
        <rFont val="Tahoma"/>
        <family val="2"/>
      </rPr>
      <t xml:space="preserve">2 </t>
    </r>
    <r>
      <rPr>
        <sz val="8.5"/>
        <rFont val="Tahoma"/>
        <family val="2"/>
      </rPr>
      <t>Currency refers to currency of loan such as US$, DM, Yen,Indian Rupee etc.</t>
    </r>
  </si>
  <si>
    <r>
      <rPr>
        <vertAlign val="superscript"/>
        <sz val="5"/>
        <rFont val="Tahoma"/>
        <family val="2"/>
      </rPr>
      <t xml:space="preserve">3 </t>
    </r>
    <r>
      <rPr>
        <sz val="8.5"/>
        <rFont val="Tahoma"/>
        <family val="2"/>
      </rPr>
      <t>Details are to be submitted as on 31.03.2004 for existing assets and as on COD for the remaining assets.</t>
    </r>
  </si>
  <si>
    <r>
      <rPr>
        <vertAlign val="superscript"/>
        <sz val="5"/>
        <rFont val="Tahoma"/>
        <family val="2"/>
      </rPr>
      <t xml:space="preserve">4 </t>
    </r>
    <r>
      <rPr>
        <sz val="8.5"/>
        <rFont val="Tahoma"/>
        <family val="2"/>
      </rPr>
      <t>Where the loan has been refinanced, details in the Form is to be given for the loan refinaced. However, the details of the original loan is to be given seperately in the same form.</t>
    </r>
  </si>
  <si>
    <r>
      <rPr>
        <vertAlign val="superscript"/>
        <sz val="5"/>
        <rFont val="Tahoma"/>
        <family val="2"/>
      </rPr>
      <t xml:space="preserve">5 </t>
    </r>
    <r>
      <rPr>
        <sz val="8.5"/>
        <rFont val="Tahoma"/>
        <family val="2"/>
      </rPr>
      <t>If the Tariff in the petition is claimed seperately for various units, details in the Form is to be given seperately for all the units in the same form.</t>
    </r>
  </si>
  <si>
    <r>
      <rPr>
        <vertAlign val="superscript"/>
        <sz val="5"/>
        <rFont val="Tahoma"/>
        <family val="2"/>
      </rPr>
      <t xml:space="preserve">6 </t>
    </r>
    <r>
      <rPr>
        <sz val="8.5"/>
        <rFont val="Tahoma"/>
        <family val="2"/>
      </rPr>
      <t>Interest type means whether the interest is fixed or floating.</t>
    </r>
  </si>
  <si>
    <r>
      <rPr>
        <vertAlign val="superscript"/>
        <sz val="5"/>
        <rFont val="Tahoma"/>
        <family val="2"/>
      </rPr>
      <t xml:space="preserve">7 </t>
    </r>
    <r>
      <rPr>
        <sz val="8.5"/>
        <rFont val="Tahoma"/>
        <family val="2"/>
      </rPr>
      <t>Base rate means the base as PLR, LIBOR etc. over which the margin is to be added. Applicable base rate on different dates from the date of drawl may also be enclosed.</t>
    </r>
  </si>
  <si>
    <r>
      <rPr>
        <vertAlign val="superscript"/>
        <sz val="5"/>
        <rFont val="Tahoma"/>
        <family val="2"/>
      </rPr>
      <t xml:space="preserve">8 </t>
    </r>
    <r>
      <rPr>
        <sz val="8.5"/>
        <rFont val="Tahoma"/>
        <family val="2"/>
      </rPr>
      <t>Margin means the points over and above the floating rate.</t>
    </r>
  </si>
  <si>
    <r>
      <rPr>
        <vertAlign val="superscript"/>
        <sz val="5"/>
        <rFont val="Tahoma"/>
        <family val="2"/>
      </rPr>
      <t xml:space="preserve">9 </t>
    </r>
    <r>
      <rPr>
        <sz val="8.5"/>
        <rFont val="Tahoma"/>
        <family val="2"/>
      </rPr>
      <t>At times caps/floor are put at which the floating rates are frozen. If such a condition exists, specify the limits.</t>
    </r>
  </si>
  <si>
    <r>
      <rPr>
        <vertAlign val="superscript"/>
        <sz val="5"/>
        <rFont val="Tahoma"/>
        <family val="2"/>
      </rPr>
      <t xml:space="preserve">10 </t>
    </r>
    <r>
      <rPr>
        <sz val="8.5"/>
        <rFont val="Tahoma"/>
        <family val="2"/>
      </rPr>
      <t>Moratorium period refers to the period during which loan servicing liability is not required.</t>
    </r>
  </si>
  <si>
    <r>
      <rPr>
        <vertAlign val="superscript"/>
        <sz val="5"/>
        <rFont val="Tahoma"/>
        <family val="2"/>
      </rPr>
      <t xml:space="preserve">11 </t>
    </r>
    <r>
      <rPr>
        <sz val="8.5"/>
        <rFont val="Tahoma"/>
        <family val="2"/>
      </rPr>
      <t>Repayment period means the repayment of loan such as 7 years, 10 years, 25 years etc.</t>
    </r>
  </si>
  <si>
    <r>
      <rPr>
        <vertAlign val="superscript"/>
        <sz val="5"/>
        <rFont val="Tahoma"/>
        <family val="2"/>
      </rPr>
      <t xml:space="preserve">12 </t>
    </r>
    <r>
      <rPr>
        <sz val="8.5"/>
        <rFont val="Tahoma"/>
        <family val="2"/>
      </rPr>
      <t>Repayment frequency means the interval at which the debt servicing is to be done such as monthly, quarterly, half yearly, annual, etc.</t>
    </r>
  </si>
  <si>
    <r>
      <rPr>
        <vertAlign val="superscript"/>
        <sz val="5"/>
        <rFont val="Tahoma"/>
        <family val="2"/>
      </rPr>
      <t xml:space="preserve">13 </t>
    </r>
    <r>
      <rPr>
        <sz val="8.5"/>
        <rFont val="Tahoma"/>
        <family val="2"/>
      </rPr>
      <t>Where there is more than one drawal/repayment for a loan, the date &amp; amount of each drawal/repayement and its allocation may also be given seperately</t>
    </r>
  </si>
  <si>
    <r>
      <rPr>
        <vertAlign val="superscript"/>
        <sz val="5"/>
        <rFont val="Tahoma"/>
        <family val="2"/>
      </rPr>
      <t xml:space="preserve">14 </t>
    </r>
    <r>
      <rPr>
        <sz val="8.5"/>
        <rFont val="Tahoma"/>
        <family val="2"/>
      </rPr>
      <t>If the repayment  instalment amount and repayment date  can not be worked out from the data furnished above, the repayment schedule to be  furnished seperately.</t>
    </r>
  </si>
  <si>
    <r>
      <rPr>
        <vertAlign val="superscript"/>
        <sz val="5"/>
        <rFont val="Tahoma"/>
        <family val="2"/>
      </rPr>
      <t xml:space="preserve">15 </t>
    </r>
    <r>
      <rPr>
        <sz val="8.5"/>
        <rFont val="Tahoma"/>
        <family val="2"/>
      </rPr>
      <t>In case of Foreign loan,date of each  drawal &amp; repayment alongwith exchange rate at that date may be given.</t>
    </r>
  </si>
  <si>
    <r>
      <rPr>
        <vertAlign val="superscript"/>
        <sz val="5"/>
        <rFont val="Tahoma"/>
        <family val="2"/>
      </rPr>
      <t xml:space="preserve">16 </t>
    </r>
    <r>
      <rPr>
        <sz val="8.5"/>
        <rFont val="Tahoma"/>
        <family val="2"/>
      </rPr>
      <t>Base exchange rate means the exchange rate prevailing as on 31.03.2004 for existing assets and as on COD for the remaining assets.</t>
    </r>
  </si>
  <si>
    <r>
      <rPr>
        <b/>
        <sz val="8.5"/>
        <rFont val="Tahoma"/>
        <family val="2"/>
      </rPr>
      <t>Petitioner</t>
    </r>
  </si>
  <si>
    <r>
      <rPr>
        <b/>
        <sz val="10"/>
        <rFont val="Tahoma"/>
        <family val="2"/>
      </rPr>
      <t>Sl.No.</t>
    </r>
  </si>
  <si>
    <r>
      <rPr>
        <b/>
        <sz val="10"/>
        <rFont val="Tahoma"/>
        <family val="2"/>
      </rPr>
      <t>Year</t>
    </r>
  </si>
  <si>
    <r>
      <rPr>
        <b/>
        <sz val="10"/>
        <rFont val="Tahoma"/>
        <family val="2"/>
      </rPr>
      <t xml:space="preserve">Work/Equipment added after COD up to Cut off
</t>
    </r>
    <r>
      <rPr>
        <b/>
        <sz val="10"/>
        <rFont val="Tahoma"/>
        <family val="2"/>
      </rPr>
      <t>Date / Beyond Cut off Date</t>
    </r>
  </si>
  <si>
    <r>
      <rPr>
        <b/>
        <sz val="10"/>
        <rFont val="Tahoma"/>
        <family val="2"/>
      </rPr>
      <t>Amount Capitalised / Proposed to be capitalised</t>
    </r>
  </si>
  <si>
    <r>
      <rPr>
        <b/>
        <sz val="10"/>
        <rFont val="Tahoma"/>
        <family val="2"/>
      </rPr>
      <t>Justification</t>
    </r>
  </si>
  <si>
    <r>
      <rPr>
        <b/>
        <sz val="10"/>
        <rFont val="Tahoma"/>
        <family val="2"/>
      </rPr>
      <t>Admitted Cost</t>
    </r>
    <r>
      <rPr>
        <b/>
        <vertAlign val="superscript"/>
        <sz val="5.5"/>
        <rFont val="Tahoma"/>
        <family val="2"/>
      </rPr>
      <t>I</t>
    </r>
  </si>
  <si>
    <r>
      <rPr>
        <sz val="10"/>
        <rFont val="Tahoma"/>
        <family val="2"/>
      </rPr>
      <t>Total</t>
    </r>
  </si>
  <si>
    <r>
      <rPr>
        <vertAlign val="superscript"/>
        <sz val="5.5"/>
        <rFont val="Tahoma"/>
        <family val="2"/>
      </rPr>
      <t xml:space="preserve">1 </t>
    </r>
    <r>
      <rPr>
        <sz val="10"/>
        <rFont val="Tahoma"/>
        <family val="2"/>
      </rPr>
      <t xml:space="preserve">In case the project has been completed and any tariff notification(s) has already been issued in the past by GOI, fill column 6 giving the cost as  admitted for the purpose of tariff notification already issued by (Name of the authority) (Enclose copy of the tariff Order)
</t>
    </r>
    <r>
      <rPr>
        <sz val="10"/>
        <rFont val="Tahoma"/>
        <family val="2"/>
      </rPr>
      <t xml:space="preserve">Note:
</t>
    </r>
    <r>
      <rPr>
        <sz val="10"/>
        <rFont val="Tahoma"/>
        <family val="2"/>
      </rPr>
      <t xml:space="preserve">1 Fill the form in chronological order year wise along with detailed justification clearly bring out the necessity and the benefits accruing to the benficiaries.
</t>
    </r>
    <r>
      <rPr>
        <sz val="10"/>
        <rFont val="Tahoma"/>
        <family val="2"/>
      </rPr>
      <t>2  In  case  initial  spares  are  purchased  alongwith  any  equipment,  then  the  cost  of  such  spares should be indicated separately. e.g. Rotor - 50 Crs. Initial spares- 5 Crs.</t>
    </r>
  </si>
  <si>
    <r>
      <rPr>
        <b/>
        <sz val="11"/>
        <rFont val="Tahoma"/>
        <family val="2"/>
      </rPr>
      <t>PART-I</t>
    </r>
  </si>
  <si>
    <r>
      <rPr>
        <b/>
        <sz val="11"/>
        <rFont val="Arial"/>
        <family val="2"/>
      </rPr>
      <t>FORM- 12</t>
    </r>
  </si>
  <si>
    <r>
      <rPr>
        <b/>
        <sz val="11"/>
        <rFont val="Tahoma"/>
        <family val="2"/>
      </rPr>
      <t>Calculation of Depreciation Rate</t>
    </r>
  </si>
  <si>
    <r>
      <rPr>
        <sz val="11"/>
        <rFont val="Tahoma"/>
        <family val="2"/>
      </rPr>
      <t>(Amount in lacs)</t>
    </r>
  </si>
  <si>
    <r>
      <rPr>
        <b/>
        <sz val="11"/>
        <rFont val="Tahoma"/>
        <family val="2"/>
      </rPr>
      <t xml:space="preserve">Sl.
</t>
    </r>
    <r>
      <rPr>
        <b/>
        <sz val="11"/>
        <rFont val="Tahoma"/>
        <family val="2"/>
      </rPr>
      <t>no.</t>
    </r>
  </si>
  <si>
    <r>
      <rPr>
        <b/>
        <sz val="11"/>
        <rFont val="Tahoma"/>
        <family val="2"/>
      </rPr>
      <t xml:space="preserve">Depreciation Rates as per CERC's
</t>
    </r>
    <r>
      <rPr>
        <b/>
        <sz val="11"/>
        <rFont val="Tahoma"/>
        <family val="2"/>
      </rPr>
      <t>Depreciation Rate  Schedule</t>
    </r>
  </si>
  <si>
    <r>
      <rPr>
        <b/>
        <sz val="11"/>
        <rFont val="Tahoma"/>
        <family val="2"/>
      </rPr>
      <t>Depreciation Amount</t>
    </r>
  </si>
  <si>
    <r>
      <rPr>
        <b/>
        <sz val="11"/>
        <rFont val="Tahoma"/>
        <family val="2"/>
      </rPr>
      <t xml:space="preserve">4= Col.2 X
</t>
    </r>
    <r>
      <rPr>
        <b/>
        <sz val="11"/>
        <rFont val="Tahoma"/>
        <family val="2"/>
      </rPr>
      <t>Col.3</t>
    </r>
  </si>
  <si>
    <r>
      <rPr>
        <b/>
        <sz val="11"/>
        <rFont val="Tahoma"/>
        <family val="2"/>
      </rPr>
      <t xml:space="preserve">Weighted Average
</t>
    </r>
    <r>
      <rPr>
        <b/>
        <sz val="11"/>
        <rFont val="Tahoma"/>
        <family val="2"/>
      </rPr>
      <t>Depreciation Rate (%)</t>
    </r>
  </si>
  <si>
    <r>
      <rPr>
        <b/>
        <vertAlign val="superscript"/>
        <sz val="6"/>
        <rFont val="Tahoma"/>
        <family val="2"/>
      </rPr>
      <t xml:space="preserve">1 </t>
    </r>
    <r>
      <rPr>
        <sz val="11"/>
        <rFont val="Tahoma"/>
        <family val="2"/>
      </rPr>
      <t>Name of the Assets should conform to the description of the assets mentioned in Depreciation Schedule appended to the Notifcation.</t>
    </r>
  </si>
  <si>
    <r>
      <rPr>
        <b/>
        <sz val="11"/>
        <rFont val="Tahoma"/>
        <family val="2"/>
      </rPr>
      <t>Petitioner</t>
    </r>
  </si>
  <si>
    <r>
      <rPr>
        <sz val="9"/>
        <rFont val="Tahoma"/>
        <family val="2"/>
      </rPr>
      <t>For   preceeding 3rd Month</t>
    </r>
  </si>
  <si>
    <r>
      <rPr>
        <sz val="9"/>
        <rFont val="Tahoma"/>
        <family val="2"/>
      </rPr>
      <t>For     preceeding 2nd Month</t>
    </r>
  </si>
  <si>
    <r>
      <rPr>
        <sz val="9"/>
        <rFont val="Tahoma"/>
        <family val="2"/>
      </rPr>
      <t>For     preceeding 1st Month</t>
    </r>
  </si>
  <si>
    <r>
      <rPr>
        <sz val="9"/>
        <rFont val="Tahoma"/>
        <family val="2"/>
      </rPr>
      <t>Net coal / Lignite Supplied (3-4)</t>
    </r>
  </si>
  <si>
    <r>
      <rPr>
        <sz val="9"/>
        <rFont val="Tahoma"/>
        <family val="2"/>
      </rPr>
      <t>Amount charged by the Coal /Lignite Company</t>
    </r>
  </si>
  <si>
    <r>
      <rPr>
        <sz val="9"/>
        <rFont val="Tahoma"/>
        <family val="2"/>
      </rPr>
      <t>(Rs.)</t>
    </r>
  </si>
  <si>
    <r>
      <rPr>
        <sz val="9"/>
        <rFont val="Tahoma"/>
        <family val="2"/>
      </rPr>
      <t>Adjustment (+/-) in amount charged made by Coal/Lignite Company</t>
    </r>
  </si>
  <si>
    <r>
      <rPr>
        <sz val="9"/>
        <rFont val="Tahoma"/>
        <family val="2"/>
      </rPr>
      <t>Total amount Charged (6+7)</t>
    </r>
  </si>
  <si>
    <r>
      <rPr>
        <sz val="9"/>
        <rFont val="Tahoma"/>
        <family val="2"/>
      </rPr>
      <t>( Rs.)</t>
    </r>
  </si>
  <si>
    <r>
      <rPr>
        <sz val="9"/>
        <rFont val="Tahoma"/>
        <family val="2"/>
      </rPr>
      <t>Adjustment (+/-) in amount charged  made by Railways/Transport Company</t>
    </r>
  </si>
  <si>
    <r>
      <rPr>
        <sz val="9"/>
        <rFont val="Tahoma"/>
        <family val="2"/>
      </rPr>
      <t>Demurrage Charges, if any</t>
    </r>
  </si>
  <si>
    <r>
      <rPr>
        <sz val="9"/>
        <rFont val="Tahoma"/>
        <family val="2"/>
      </rPr>
      <t>Cost  of  diesel  in  transporting  coal  through MGR system, if applicable</t>
    </r>
  </si>
  <si>
    <r>
      <rPr>
        <sz val="9"/>
        <rFont val="Tahoma"/>
        <family val="2"/>
      </rPr>
      <t>Total Transportation Charges (9+/-10-11+12)</t>
    </r>
  </si>
  <si>
    <r>
      <rPr>
        <sz val="9"/>
        <rFont val="Tahoma"/>
        <family val="2"/>
      </rPr>
      <t>Total amount Charged for coal/lignite supplied including Transportation (8+13)</t>
    </r>
  </si>
  <si>
    <r>
      <rPr>
        <b/>
        <sz val="9"/>
        <rFont val="Tahoma"/>
        <family val="2"/>
      </rPr>
      <t>PETITIONER</t>
    </r>
  </si>
  <si>
    <t>t</t>
  </si>
  <si>
    <t>Appendix-I</t>
  </si>
  <si>
    <t>Computation of Energy Charges</t>
  </si>
  <si>
    <t>Name of the Company</t>
  </si>
  <si>
    <t>Name of the Power Station</t>
  </si>
  <si>
    <t xml:space="preserve">Description </t>
  </si>
  <si>
    <t xml:space="preserve">Unit </t>
  </si>
  <si>
    <t>Gross Station Heat Rate</t>
  </si>
  <si>
    <t xml:space="preserve">Kcal/kWh </t>
  </si>
  <si>
    <t xml:space="preserve">Auxiliary Energy Consumption </t>
  </si>
  <si>
    <t>%</t>
  </si>
  <si>
    <t>Specific Oil Consumption</t>
  </si>
  <si>
    <t>ml/kWh</t>
  </si>
  <si>
    <t>Wt. Avg. GCV of Oil *</t>
  </si>
  <si>
    <t>Kcal/L</t>
  </si>
  <si>
    <t>Wt. Avg. GCV of Coal *</t>
  </si>
  <si>
    <t>kCal/kg</t>
  </si>
  <si>
    <t>Price of Coal *</t>
  </si>
  <si>
    <t xml:space="preserve">Rs./MT </t>
  </si>
  <si>
    <t>Price of Oil*</t>
  </si>
  <si>
    <t>Rs./ml</t>
  </si>
  <si>
    <t>Rate of Energy Charge from Secondary Fuel Oil</t>
  </si>
  <si>
    <t xml:space="preserve">Paise/kWh </t>
  </si>
  <si>
    <t>Heat Contribution from SFO</t>
  </si>
  <si>
    <t>Heat Contribution from Coal</t>
  </si>
  <si>
    <t>Specific Coal Consumption</t>
  </si>
  <si>
    <t>kg/kWh</t>
  </si>
  <si>
    <t xml:space="preserve">Rate of Energy Charge from Coal  </t>
  </si>
  <si>
    <t>(Petitioner)</t>
  </si>
  <si>
    <t>(D16*D12+(((D10-D13/1000*D12)/D14)*D15/1000))/(1-D11)</t>
  </si>
  <si>
    <t>PART- I</t>
  </si>
  <si>
    <t>FORM 15</t>
  </si>
  <si>
    <r>
      <t>Details/Information to be Submitted in respect of Fuel for Computation of Energy Charges</t>
    </r>
    <r>
      <rPr>
        <b/>
        <u/>
        <vertAlign val="superscript"/>
        <sz val="10.5"/>
        <rFont val="Arial"/>
        <family val="2"/>
      </rPr>
      <t>1</t>
    </r>
  </si>
  <si>
    <t>(COAL)</t>
  </si>
  <si>
    <t>Name of the Petitioner</t>
  </si>
  <si>
    <t>Name of the Generating Station</t>
  </si>
  <si>
    <r>
      <t xml:space="preserve">S.
</t>
    </r>
    <r>
      <rPr>
        <b/>
        <sz val="10.5"/>
        <rFont val="Arial"/>
        <family val="2"/>
      </rPr>
      <t xml:space="preserve">No
</t>
    </r>
    <r>
      <rPr>
        <b/>
        <sz val="10.5"/>
        <rFont val="Arial"/>
        <family val="2"/>
      </rPr>
      <t>.</t>
    </r>
  </si>
  <si>
    <t>Month</t>
  </si>
  <si>
    <t>3rd Month
(from COD  )</t>
  </si>
  <si>
    <t>2nd Month
(from COD  )</t>
  </si>
  <si>
    <t>1st Month
(from COD  )</t>
  </si>
  <si>
    <r>
      <t>Dome</t>
    </r>
    <r>
      <rPr>
        <sz val="10"/>
        <rFont val="Tahoma"/>
        <family val="2"/>
      </rPr>
      <t>stic</t>
    </r>
  </si>
  <si>
    <r>
      <t>Impo</t>
    </r>
    <r>
      <rPr>
        <sz val="10"/>
        <rFont val="Tahoma"/>
        <family val="2"/>
      </rPr>
      <t>rted</t>
    </r>
  </si>
  <si>
    <r>
      <t>Domes</t>
    </r>
    <r>
      <rPr>
        <sz val="10"/>
        <rFont val="Tahoma"/>
        <family val="2"/>
      </rPr>
      <t>tic</t>
    </r>
  </si>
  <si>
    <r>
      <t>Importe</t>
    </r>
    <r>
      <rPr>
        <sz val="10"/>
        <rFont val="Tahoma"/>
        <family val="2"/>
      </rPr>
      <t>d</t>
    </r>
  </si>
  <si>
    <t>Domestic</t>
  </si>
  <si>
    <t>Imported</t>
  </si>
  <si>
    <t>Quantity of Coal/Lignite supplied by Coal/Lignite Company</t>
  </si>
  <si>
    <t>(MMT)</t>
  </si>
  <si>
    <t>NA</t>
  </si>
  <si>
    <t>MU month</t>
  </si>
  <si>
    <t>Adjustment (+/-) in quantity supplied made by Coal/Lignite Company</t>
  </si>
  <si>
    <t>Heat rate
(Kcal/Kwh)</t>
  </si>
  <si>
    <t>Coal supplied by Coal/Lignite Company (1+2)</t>
  </si>
  <si>
    <t>GCV (Kcal/Kg)</t>
  </si>
  <si>
    <t>Normative Transit &amp; Handling Losses (For coal/Lignite based Projects)</t>
  </si>
  <si>
    <t>Coal rate (Kg/Kwh)</t>
  </si>
  <si>
    <t>Net coal / Lignite Supplied (3-4)</t>
  </si>
  <si>
    <t>Amount charged by the Coal /Lignite Company</t>
  </si>
  <si>
    <t>(Rs.)</t>
  </si>
  <si>
    <t>Adjustment (+/-) in amount charged made by Coal/Lignite Company</t>
  </si>
  <si>
    <t>Total amount Charged (6+7)</t>
  </si>
  <si>
    <t>Transportation charges by rail/ship/road transport</t>
  </si>
  <si>
    <t>( Rs.)</t>
  </si>
  <si>
    <t>Adjustment (+/-) in amount charged made by Railways/Transport Company</t>
  </si>
  <si>
    <t>Demurrage Charges, if any</t>
  </si>
  <si>
    <t>Cost of diesel in transporting coal through MGR system, if applicable</t>
  </si>
  <si>
    <t>Total Transportation Charges (9+/-10- 11+12)</t>
  </si>
  <si>
    <t>Total amount Charged for coal/lignite supplied including Transportation (8+13)</t>
  </si>
  <si>
    <t>Landed cost of coal/ Lignite</t>
  </si>
  <si>
    <t>Rs./MT</t>
  </si>
  <si>
    <t>Blending Ratio (Domestic/Imported)</t>
  </si>
  <si>
    <t>Weighted average cost of coal/
Lignite for preceding three months</t>
  </si>
  <si>
    <t xml:space="preserve">
Rs./MT</t>
  </si>
  <si>
    <t>GCV of Domestic
Coal as per bill of Coal Company</t>
  </si>
  <si>
    <r>
      <t xml:space="preserve">(kCal/ </t>
    </r>
    <r>
      <rPr>
        <sz val="10"/>
        <rFont val="Tahoma"/>
        <family val="2"/>
      </rPr>
      <t>Kg)</t>
    </r>
  </si>
  <si>
    <t>GCV of Imported Coal as per bill Coal Company</t>
  </si>
  <si>
    <t>Weighted average GCV of coal/
Lignite as Billed</t>
  </si>
  <si>
    <t>GCV of Domestic Coal as received at Station</t>
  </si>
  <si>
    <t>GCV of Imported Coal as received at Station</t>
  </si>
  <si>
    <t>Weighted average GCV of coal/
Lignite as Received</t>
  </si>
  <si>
    <t>Note:</t>
  </si>
  <si>
    <t>1. Similar details to be furnished for natural gas/liquid fuel for CCGT station and secondary fuel oil for coal/lignite based thermal plants with appropriate units.</t>
  </si>
  <si>
    <t xml:space="preserve"> </t>
  </si>
  <si>
    <t>2. As billed and as received GCV, quantity of coal, and price should be submitted as certified   by statutory auditor.</t>
  </si>
  <si>
    <t>3 .Imported  coal was not procured in the month of January ,February and March ,2014</t>
  </si>
  <si>
    <r>
      <t>Details/Information to be Submitted in respect of Fuel for Computation of Energy Charges</t>
    </r>
    <r>
      <rPr>
        <b/>
        <u/>
        <vertAlign val="superscript"/>
        <sz val="12"/>
        <rFont val="Times New Roman"/>
        <family val="1"/>
      </rPr>
      <t>1</t>
    </r>
  </si>
  <si>
    <t>( OIL )</t>
  </si>
  <si>
    <t>S.
No
.</t>
  </si>
  <si>
    <t>Unit</t>
  </si>
  <si>
    <t>For preceding</t>
  </si>
  <si>
    <t>Quantity of Oil supplied by Oil Company</t>
  </si>
  <si>
    <t>(KL)</t>
  </si>
  <si>
    <t>Adjustment (+/-) in quantity supplied made by OIL Company</t>
  </si>
  <si>
    <t>Oil supplied by Oil Company (1+2)</t>
  </si>
  <si>
    <t>Net Oil Supplied (3-4)</t>
  </si>
  <si>
    <t>Amount charged by the Oil Company</t>
  </si>
  <si>
    <t>Adjustment (+/-) in amount charged made by Oil Company</t>
  </si>
  <si>
    <t>Cost of diesel in transporting Oil  through MGR system, if applicable</t>
  </si>
  <si>
    <t>Total amount Charged for Oil supplied including Transportation (8+13)</t>
  </si>
  <si>
    <t>Landed cost of Oil</t>
  </si>
  <si>
    <t>Rs./KL</t>
  </si>
  <si>
    <t>Weighted average cost of Oil for preceding three months</t>
  </si>
  <si>
    <t xml:space="preserve">
Rs./KL</t>
  </si>
  <si>
    <t>GCV of Domestic Oil as per bill of Oil Company</t>
  </si>
  <si>
    <t>(kCal/ Lit)</t>
  </si>
  <si>
    <t>GCV of Imported Oil as per bill of Oil Company</t>
  </si>
  <si>
    <t>Weighted average GCV of Oil as Billed</t>
  </si>
  <si>
    <t>GCV of Domestic Oil as received at Station</t>
  </si>
  <si>
    <t>GCV of Imported Oil as received at Station</t>
  </si>
  <si>
    <t>Weighted average GCV of Oil  as Received</t>
  </si>
  <si>
    <t xml:space="preserve">PART-I </t>
  </si>
  <si>
    <t>FORM- 13A</t>
  </si>
  <si>
    <t>Calculation of Interest on Normative Loan</t>
  </si>
  <si>
    <t>Sl. No.</t>
  </si>
  <si>
    <t>Particulars</t>
  </si>
  <si>
    <t>Gross Normative loan – Opening</t>
  </si>
  <si>
    <t>Cumulative repayment of Normative loan upto previous year</t>
  </si>
  <si>
    <t>Net Normative loan – Opening</t>
  </si>
  <si>
    <t>Less: Decrease due to repayment during the year / period</t>
  </si>
  <si>
    <t>Net Normative loan - Closing</t>
  </si>
  <si>
    <t>Average Normative loan</t>
  </si>
  <si>
    <t>Weighted average rate of interest</t>
  </si>
  <si>
    <t>Interest on Loan</t>
  </si>
  <si>
    <t>CAPITAL</t>
  </si>
  <si>
    <t>CAPITAL COST OPENING</t>
  </si>
  <si>
    <t>LIABILITIES DISCHARGED DURING THE YEAR</t>
  </si>
  <si>
    <t>CAPITAL COST CLOSING</t>
  </si>
  <si>
    <t>AVERAGE CAPITAL COST</t>
  </si>
  <si>
    <t>EQUITY</t>
  </si>
  <si>
    <t>EQUITY OPENING @30% OF CAPITAL</t>
  </si>
  <si>
    <t>EQUITY CLOSING</t>
  </si>
  <si>
    <t>AVERAGE</t>
  </si>
  <si>
    <t>RATE OF DEPRECIATION</t>
  </si>
  <si>
    <t>Freehold Land</t>
  </si>
  <si>
    <t>90% DEPRECIABLE VALUE EXCLUDING LAND &amp; LAND RIGHTS</t>
  </si>
  <si>
    <t>DEPRECIATION RESERVE (OPENING)</t>
  </si>
  <si>
    <t>BALANCE DPRECIATED VALUE</t>
  </si>
  <si>
    <t>DEPRECIATION TO BE RECOVERED</t>
  </si>
  <si>
    <t>CUMULATIVE DEPRECIATION</t>
  </si>
  <si>
    <t>From COD Unit 1 to COD of Unit 2</t>
  </si>
  <si>
    <t>From COD Unit 2 to 31.03.2017</t>
  </si>
  <si>
    <t>FY 2017-18</t>
  </si>
  <si>
    <t>FY 2018-19</t>
  </si>
  <si>
    <t>Summary Sheet</t>
  </si>
  <si>
    <t xml:space="preserve">Name of the Power Station:                                                           </t>
  </si>
  <si>
    <t xml:space="preserve">Name of the Company :                                                               </t>
  </si>
  <si>
    <t>FORM- 1</t>
  </si>
  <si>
    <t>Telengana</t>
  </si>
  <si>
    <t>FORM-11</t>
  </si>
  <si>
    <t>FORM 14</t>
  </si>
  <si>
    <t>Depreciation</t>
  </si>
  <si>
    <t>Advance against Depreciation</t>
  </si>
  <si>
    <t>Interest on Working Capital</t>
  </si>
  <si>
    <t>O &amp; M Expenses</t>
  </si>
  <si>
    <t>Total</t>
  </si>
  <si>
    <t>Rate of Energy Charge from Secondary Fuel (REC)</t>
  </si>
  <si>
    <r>
      <rPr>
        <sz val="10"/>
        <rFont val="Tahoma"/>
        <family val="2"/>
      </rPr>
      <t>Return on Equity</t>
    </r>
    <r>
      <rPr>
        <vertAlign val="superscript"/>
        <sz val="10"/>
        <rFont val="Tahoma"/>
        <family val="2"/>
      </rPr>
      <t>1</t>
    </r>
  </si>
  <si>
    <t>Singareni Thermal Power Project</t>
  </si>
  <si>
    <t>Normative parameters considered for tariff computations.</t>
  </si>
  <si>
    <t>FORM- 3</t>
  </si>
  <si>
    <t>The Singareni Collieries Company Limited</t>
  </si>
  <si>
    <r>
      <t>Basic Characteristics of the Plant</t>
    </r>
    <r>
      <rPr>
        <b/>
        <vertAlign val="superscript"/>
        <sz val="9"/>
        <color rgb="FF000000"/>
        <rFont val="Arial"/>
        <family val="2"/>
      </rPr>
      <t>1</t>
    </r>
  </si>
  <si>
    <t>Sub-critical - Drum type controlled circulation with two pass type gas path arrangements with single reheat.</t>
  </si>
  <si>
    <t>Special features of the Plant</t>
  </si>
  <si>
    <t> NA</t>
  </si>
  <si>
    <r>
      <t>Site Specific Features</t>
    </r>
    <r>
      <rPr>
        <b/>
        <vertAlign val="superscript"/>
        <sz val="9"/>
        <color rgb="FF000000"/>
        <rFont val="Arial"/>
        <family val="2"/>
      </rPr>
      <t>2</t>
    </r>
  </si>
  <si>
    <t>Balancing Reservoir</t>
  </si>
  <si>
    <r>
      <t>Special technological Features</t>
    </r>
    <r>
      <rPr>
        <b/>
        <vertAlign val="superscript"/>
        <sz val="9"/>
        <color rgb="FF000000"/>
        <rFont val="Arial"/>
        <family val="2"/>
      </rPr>
      <t>3</t>
    </r>
  </si>
  <si>
    <r>
      <t>Environmental Regulation related features</t>
    </r>
    <r>
      <rPr>
        <b/>
        <vertAlign val="superscript"/>
        <sz val="9"/>
        <color rgb="FF000000"/>
        <rFont val="Arial"/>
        <family val="2"/>
      </rPr>
      <t>4</t>
    </r>
  </si>
  <si>
    <t>ESP,AHP and Ash Water Re-circulation System</t>
  </si>
  <si>
    <t>Any other special features</t>
  </si>
  <si>
    <r>
      <t>Fuel Details</t>
    </r>
    <r>
      <rPr>
        <b/>
        <vertAlign val="superscript"/>
        <sz val="9"/>
        <color rgb="FF000000"/>
        <rFont val="Arial"/>
        <family val="2"/>
      </rPr>
      <t>5</t>
    </r>
  </si>
  <si>
    <t>Primary Fuel</t>
  </si>
  <si>
    <t>Secondary Fuel</t>
  </si>
  <si>
    <t>Alternate Fuels</t>
  </si>
  <si>
    <t>Heavy Fuel Oil / Light Diesel Oil</t>
  </si>
  <si>
    <t>NA </t>
  </si>
  <si>
    <t>Details</t>
  </si>
  <si>
    <t>Unit-I</t>
  </si>
  <si>
    <t>Unit-II</t>
  </si>
  <si>
    <t>Installed Capacity (IC)</t>
  </si>
  <si>
    <t>600 MW</t>
  </si>
  <si>
    <t>Date of Commercial Operation (COD)</t>
  </si>
  <si>
    <t>Is it a Pit Head or Non-pit head station?</t>
  </si>
  <si>
    <t>Non-pit head station</t>
  </si>
  <si>
    <r>
      <t>Type of Cooling System</t>
    </r>
    <r>
      <rPr>
        <vertAlign val="superscript"/>
        <sz val="9"/>
        <color rgb="FF000000"/>
        <rFont val="Arial"/>
        <family val="2"/>
      </rPr>
      <t>6</t>
    </r>
  </si>
  <si>
    <t>Stator (Water cooled), Rotor (Hydrogen cooled)-Closed circuit cooling</t>
  </si>
  <si>
    <t>Type of Boiler Feed Pump (Steam driven or Electrically driven)</t>
  </si>
  <si>
    <t>2 TDBFP, 1 MDBFP(STANDBY)</t>
  </si>
  <si>
    <t>FORM- 2</t>
  </si>
  <si>
    <t xml:space="preserve"> Plant Characteristics</t>
  </si>
  <si>
    <t xml:space="preserve">Coal </t>
  </si>
  <si>
    <t>25.09.2016</t>
  </si>
  <si>
    <t>02.12.2016</t>
  </si>
  <si>
    <t>Name of the Company:</t>
  </si>
  <si>
    <t>Name of the Power Station:</t>
  </si>
  <si>
    <t>Breakdown</t>
  </si>
  <si>
    <t>Cost in Rs. Crores</t>
  </si>
  <si>
    <t>Variation</t>
  </si>
  <si>
    <t>Reasons for variation</t>
  </si>
  <si>
    <t>(Rs. Crores)</t>
  </si>
  <si>
    <t>BTG package</t>
  </si>
  <si>
    <t>BTG Supply</t>
  </si>
  <si>
    <t>Increase in service  tax and excise duty, additional scope of work, higher technical specifications</t>
  </si>
  <si>
    <t>BTG Erection</t>
  </si>
  <si>
    <t>BTG Freight</t>
  </si>
  <si>
    <t>BTG Civil</t>
  </si>
  <si>
    <t>Subtotal</t>
  </si>
  <si>
    <t>PVC</t>
  </si>
  <si>
    <t>Increase in taxes and duties</t>
  </si>
  <si>
    <t>BTG Grand Total</t>
  </si>
  <si>
    <t>BOP package</t>
  </si>
  <si>
    <t>BOP Mechanical&amp; Electrical (supply)</t>
  </si>
  <si>
    <t>Reduction in capital cost for BOP Mechanical &amp; Electrical Package</t>
  </si>
  <si>
    <t>BOP Civil</t>
  </si>
  <si>
    <t>BOP Erection</t>
  </si>
  <si>
    <t>BOP Freight</t>
  </si>
  <si>
    <t>Estimated PVC</t>
  </si>
  <si>
    <t>BOP Total</t>
  </si>
  <si>
    <t>Other works undertaken by SCCL</t>
  </si>
  <si>
    <t>Land</t>
  </si>
  <si>
    <r>
      <t xml:space="preserve">Increase in capital cost for the </t>
    </r>
    <r>
      <rPr>
        <b/>
        <sz val="9"/>
        <color theme="1"/>
        <rFont val="Arial"/>
        <family val="2"/>
      </rPr>
      <t>Other works undertaken by SCCL</t>
    </r>
    <r>
      <rPr>
        <sz val="9"/>
        <color rgb="FF000000"/>
        <rFont val="Arial"/>
        <family val="2"/>
      </rPr>
      <t xml:space="preserve"> is due to the following reasons:</t>
    </r>
  </si>
  <si>
    <t>Survey &amp; soil investigation</t>
  </si>
  <si>
    <r>
      <t xml:space="preserve">1. Source of Water supply from Pranahita River has been added resulting into additional cost of Rs. 320 </t>
    </r>
    <r>
      <rPr>
        <sz val="9"/>
        <color theme="1"/>
        <rFont val="Arial"/>
        <family val="2"/>
      </rPr>
      <t>Crores</t>
    </r>
  </si>
  <si>
    <t>Site Dev, Enabling, temp Sheds etc.</t>
  </si>
  <si>
    <t> -</t>
  </si>
  <si>
    <t>2. Coal Transport Roads have been constructed</t>
  </si>
  <si>
    <t>Roads &amp; Culverts</t>
  </si>
  <si>
    <t>3. Start up power line has been laid</t>
  </si>
  <si>
    <t>Coal Transport Roads out of BOP savings</t>
  </si>
  <si>
    <t>4. Delayed construction of reservoir</t>
  </si>
  <si>
    <t>Boundary Walls</t>
  </si>
  <si>
    <t>5. increase in the requirement of construction power</t>
  </si>
  <si>
    <t>Reservoir</t>
  </si>
  <si>
    <t>6. Construction of 2 bedroom quarters instead of 1.</t>
  </si>
  <si>
    <t>Water supply-1 TMC</t>
  </si>
  <si>
    <t>Water supply-2 TMC</t>
  </si>
  <si>
    <t>Gate Complex, Security, etc.</t>
  </si>
  <si>
    <t>Railway Siding</t>
  </si>
  <si>
    <t xml:space="preserve">Environment </t>
  </si>
  <si>
    <t>CSR</t>
  </si>
  <si>
    <t>Weigh Bridges, Fire Tender</t>
  </si>
  <si>
    <t>Start up Power &amp; common Equipment</t>
  </si>
  <si>
    <t>Construction Power</t>
  </si>
  <si>
    <t>Furniture &amp; office automation</t>
  </si>
  <si>
    <t>Misc. Expenditure</t>
  </si>
  <si>
    <t>CISF</t>
  </si>
  <si>
    <r>
      <t>Other works undertaken by SCCL</t>
    </r>
    <r>
      <rPr>
        <b/>
        <sz val="9"/>
        <color rgb="FF000000"/>
        <rFont val="Arial"/>
        <family val="2"/>
      </rPr>
      <t xml:space="preserve"> Total</t>
    </r>
  </si>
  <si>
    <t>Others</t>
  </si>
  <si>
    <t>Contingencies</t>
  </si>
  <si>
    <t>Increase in capital cost is due to</t>
  </si>
  <si>
    <t>Establishment Costs</t>
  </si>
  <si>
    <t>1.Increase in establishment costs</t>
  </si>
  <si>
    <t>Consultancy &amp; Engineering</t>
  </si>
  <si>
    <t>2. Consultancy fee to NTPC</t>
  </si>
  <si>
    <t>Start up Fuel</t>
  </si>
  <si>
    <t>Operator Training</t>
  </si>
  <si>
    <t>Development Expenses</t>
  </si>
  <si>
    <t>Margin Money</t>
  </si>
  <si>
    <t>Financing Expenses</t>
  </si>
  <si>
    <t>IDC</t>
  </si>
  <si>
    <t>Others Total</t>
  </si>
  <si>
    <t>Capital Cost including IDC &amp; FC</t>
  </si>
  <si>
    <t xml:space="preserve">Note: </t>
  </si>
  <si>
    <t>2. The values are rounded up to the nearest whole number.</t>
  </si>
  <si>
    <t>Break up of Capital Cost for Coal/ Lignite based projects</t>
  </si>
  <si>
    <t>FORM- 5B</t>
  </si>
  <si>
    <t>3. Increase in IDC due to increased loan amount and change in debt draw down schedule.</t>
  </si>
  <si>
    <t>FORM- 9</t>
  </si>
  <si>
    <t>COD</t>
  </si>
  <si>
    <t>Statement of Additional Capitalisation after COD</t>
  </si>
  <si>
    <t>Capitalisation from 02.12.2016 to 31.03.2017.</t>
  </si>
  <si>
    <t>Capitalisation during FY 2017-18</t>
  </si>
  <si>
    <t>Mancherial</t>
  </si>
  <si>
    <t>Not applicable</t>
  </si>
  <si>
    <t>Name of the Assets1</t>
  </si>
  <si>
    <t>Gross block as on 31.03.2006 or as on COD,whichever is later.</t>
  </si>
  <si>
    <t xml:space="preserve">Gross block as on 02.12.2016 </t>
  </si>
  <si>
    <t>Depreciation for 2.12.2016 to 31.03.2017</t>
  </si>
  <si>
    <t>Depreciation for 2017-18</t>
  </si>
  <si>
    <t>Gross block as on 31.03.2017</t>
  </si>
  <si>
    <t>MU</t>
  </si>
  <si>
    <t>Generation Ex Bus</t>
  </si>
  <si>
    <t>Rate of Coal</t>
  </si>
  <si>
    <t>Rs/MT</t>
  </si>
  <si>
    <t>(kCal/Kg)</t>
  </si>
  <si>
    <t>Wt average price of coal</t>
  </si>
  <si>
    <t>Wt average GCV of Coal</t>
  </si>
  <si>
    <t>Description</t>
  </si>
  <si>
    <t>-</t>
  </si>
  <si>
    <t>Adjustment  (+/-)  in  quantity  supplied  made by oil Company</t>
  </si>
  <si>
    <t>Oil supplied  by oil Company (1+2)</t>
  </si>
  <si>
    <t>Normative   Transit   &amp;   Handling   Losses   (For coal/Lignit based Projects)</t>
  </si>
  <si>
    <t>Net oil Supplied (3-4)</t>
  </si>
  <si>
    <t>Amount charged by the oil Company</t>
  </si>
  <si>
    <t>Adjustment (+/-) in amount charged made by oil Company</t>
  </si>
  <si>
    <t>Total amount Charged for oil supplied including Transportation (8+13)</t>
  </si>
  <si>
    <t>Weighted average GCV of oil as fired</t>
  </si>
  <si>
    <t>Rate of oil</t>
  </si>
  <si>
    <t>Rs/KL</t>
  </si>
  <si>
    <t>LDO</t>
  </si>
  <si>
    <t>HFO</t>
  </si>
  <si>
    <t>Quantity</t>
  </si>
  <si>
    <t xml:space="preserve"> Price</t>
  </si>
  <si>
    <t xml:space="preserve"> GCV</t>
  </si>
  <si>
    <t>Price</t>
  </si>
  <si>
    <t>GCV</t>
  </si>
  <si>
    <t>Avg Price</t>
  </si>
  <si>
    <t>Avg GCV</t>
  </si>
  <si>
    <t>Wt Average</t>
  </si>
  <si>
    <t>Tot Quant</t>
  </si>
  <si>
    <t>2017-18</t>
  </si>
  <si>
    <t>2018-19</t>
  </si>
  <si>
    <t>Days in Period</t>
  </si>
  <si>
    <t>Calculation of Interest on Working Capital</t>
  </si>
  <si>
    <t>Form reference</t>
  </si>
  <si>
    <t>New Projects Capital Cost Estimates</t>
  </si>
  <si>
    <t>Capital Cost excluding IDC and FC</t>
  </si>
  <si>
    <t>Present Day Costs</t>
  </si>
  <si>
    <t xml:space="preserve">Name of the Power Station </t>
  </si>
  <si>
    <t>Domestic Component (Rs. Crores)</t>
  </si>
  <si>
    <t>IDC &amp; FC</t>
  </si>
  <si>
    <t>Total IDC &amp;FC (Rs. Crores)</t>
  </si>
  <si>
    <t>Part-I Form 13, APERC Regulation 1 of 2008</t>
  </si>
  <si>
    <r>
      <t>Table 16: Calculation of Weighted Average Rate of Interest on Actual Loans</t>
    </r>
    <r>
      <rPr>
        <b/>
        <vertAlign val="superscript"/>
        <sz val="9"/>
        <color theme="1"/>
        <rFont val="Arial"/>
        <family val="2"/>
      </rPr>
      <t>1</t>
    </r>
  </si>
  <si>
    <t>Name of the Company :  The Singareni Collieries Company Limited</t>
  </si>
  <si>
    <t>Name of the Power Station : Singareni Thermal Power Project</t>
  </si>
  <si>
    <t xml:space="preserve">                                                                        ( Amount in Rs. Crores )</t>
  </si>
  <si>
    <t>Sl.</t>
  </si>
  <si>
    <t>FY</t>
  </si>
  <si>
    <t>No</t>
  </si>
  <si>
    <t>15-16</t>
  </si>
  <si>
    <t>16-17</t>
  </si>
  <si>
    <t>17-18</t>
  </si>
  <si>
    <t>18-19</t>
  </si>
  <si>
    <t>Loan-1</t>
  </si>
  <si>
    <t xml:space="preserve">Gross Loan - Opening </t>
  </si>
  <si>
    <t>Cumulative repayments of Loans up to previous year</t>
  </si>
  <si>
    <t xml:space="preserve">                 -   </t>
  </si>
  <si>
    <t xml:space="preserve">Net Loan - Opening </t>
  </si>
  <si>
    <t>Add: Drawal(s) during the year</t>
  </si>
  <si>
    <t>Less: Repayment (s) of Loans during the year</t>
  </si>
  <si>
    <t xml:space="preserve">Net Loan - Closing </t>
  </si>
  <si>
    <t>Average Net Loan</t>
  </si>
  <si>
    <t>Rate of Interest on Loan</t>
  </si>
  <si>
    <t>Loan-2</t>
  </si>
  <si>
    <t>Total Loan</t>
  </si>
  <si>
    <t>Gross Loan - Opening</t>
  </si>
  <si>
    <t xml:space="preserve">                  -   </t>
  </si>
  <si>
    <t xml:space="preserve">                -   </t>
  </si>
  <si>
    <r>
      <t>1</t>
    </r>
    <r>
      <rPr>
        <sz val="9"/>
        <color rgb="FF000000"/>
        <rFont val="Arial"/>
        <family val="2"/>
      </rPr>
      <t>In case of Foreign Loans, the calculations in Indian Rupees is to be furnished. However, the calculations in Original currency is also to be furnished separately in the same form.</t>
    </r>
  </si>
  <si>
    <t>02/12/2016 to 31/3/2017</t>
  </si>
  <si>
    <t>Actual</t>
  </si>
  <si>
    <t>Projection</t>
  </si>
  <si>
    <t>01/04/2016 to 24/9/2016</t>
  </si>
  <si>
    <t>25/09/2016 to 01/12/2016</t>
  </si>
  <si>
    <t>Table 14: Calculation of IDC &amp; Financing Charges</t>
  </si>
  <si>
    <t>2X600 MW Singareni Thermal Power Project</t>
  </si>
  <si>
    <t>Draw down schedule for calculation of IDC &amp; Financing Charges</t>
  </si>
  <si>
    <t>SI. No.</t>
  </si>
  <si>
    <t>Till COD of Unit-II</t>
  </si>
  <si>
    <t>11-12 Q3</t>
  </si>
  <si>
    <t>11-12 Q4</t>
  </si>
  <si>
    <t>12-13 Q1</t>
  </si>
  <si>
    <t>12-13 Q2</t>
  </si>
  <si>
    <t>12-13Q3</t>
  </si>
  <si>
    <t>12-13Q4</t>
  </si>
  <si>
    <t>13-14 Q1</t>
  </si>
  <si>
    <t>13-14 Q2</t>
  </si>
  <si>
    <t>13-14 Q3</t>
  </si>
  <si>
    <t>13-14 Q4</t>
  </si>
  <si>
    <t>14-15 Q1</t>
  </si>
  <si>
    <t>14-15 Q2</t>
  </si>
  <si>
    <t>14-15 Q3</t>
  </si>
  <si>
    <t>14-15 Q4</t>
  </si>
  <si>
    <t>15-16 Q1</t>
  </si>
  <si>
    <t>15-16 Q2</t>
  </si>
  <si>
    <t xml:space="preserve">15-16 </t>
  </si>
  <si>
    <t>Q3 (upto 14.01.2016)</t>
  </si>
  <si>
    <t>Foreign Loans</t>
  </si>
  <si>
    <t>Indian Loans</t>
  </si>
  <si>
    <t>Amount in Rs. Crores</t>
  </si>
  <si>
    <t>Indian Loan in Rs. Crores</t>
  </si>
  <si>
    <t>Drawn Down Amount</t>
  </si>
  <si>
    <t>Principal</t>
  </si>
  <si>
    <t>Financing Charges</t>
  </si>
  <si>
    <t>Interest Paid</t>
  </si>
  <si>
    <t>N</t>
  </si>
  <si>
    <t>Y</t>
  </si>
  <si>
    <t>Note: Drawal of debt and equity shall be on paripassu basis to meet the commissioning schedule. Drawal of higher equity in the beginning is permissible</t>
  </si>
  <si>
    <t>Excise Duty: 12.36%
Service Tax: 12.36%
CST 2%
VAT 5/14.5%</t>
  </si>
  <si>
    <t>Excise Duty: 12.5%
Service Tax: 14.0%
SBC: 0.5%
CST 2%
VAT 5/14.5%</t>
  </si>
  <si>
    <t xml:space="preserve">Completed Costs </t>
  </si>
  <si>
    <t>Date of Approval of the Capital for Capital cost 
estimates</t>
  </si>
  <si>
    <t>Capital Cost Including  IDC &amp; FC</t>
  </si>
  <si>
    <t>Foreign Currency component, if any (in
Millions US $ or the relevant Currency)</t>
  </si>
  <si>
    <t>Domestic Component (in Rs. Crores)</t>
  </si>
  <si>
    <t>Foreign component if any (in million US $ or 
the relevant currency)</t>
  </si>
  <si>
    <t>Capital cost excluding IDC &amp; FC (Rs. 
Crores)</t>
  </si>
  <si>
    <t xml:space="preserve">
Price level of approved estimates</t>
  </si>
  <si>
    <t>Foreign Exchanges rate considered for Capital 
cost estimates</t>
  </si>
  <si>
    <t xml:space="preserve">Foreign component, if any (in Millions US $ or 
the relevant currency)
</t>
  </si>
  <si>
    <t xml:space="preserve">
Rate of taxes &amp; duties considered</t>
  </si>
  <si>
    <t>BTG</t>
  </si>
  <si>
    <t>M/s BHEL</t>
  </si>
  <si>
    <t>BOP</t>
  </si>
  <si>
    <t>e. As per Part-I, Form-5D of APERC Regulation 1 of 2008</t>
  </si>
  <si>
    <t>Table 11 :  Breakup of Major Construction / Supply/ Service packages</t>
  </si>
  <si>
    <t>SI.No</t>
  </si>
  <si>
    <t>Name/ No. of
Construction/
Supply/ Service
Package</t>
  </si>
  <si>
    <t>Name of the 
Vendor</t>
  </si>
  <si>
    <t>Scope of Work  
(in line with head of Cost break-
ups as possible)</t>
  </si>
  <si>
    <t>Whether
awarded
through ICB/
DCB/
Departmentally/
deposit Work</t>
  </si>
  <si>
    <t>No. of 
Bids
received</t>
  </si>
  <si>
    <t>Date of 
Award</t>
  </si>
  <si>
    <t>Date of State of
 Work</t>
  </si>
  <si>
    <t>Date of 
completion 
of work</t>
  </si>
  <si>
    <t>Value of 
the 
Award
(in Rs.
Crores)</t>
  </si>
  <si>
    <t>Firm or
with
escalation
in prices</t>
  </si>
  <si>
    <t>Actual
expenditure till
the completion
or up to COD
whichever is 
either (Rs.
Crores)</t>
  </si>
  <si>
    <t>Railway siding
consultancy</t>
  </si>
  <si>
    <t>M/s MBECL</t>
  </si>
  <si>
    <t>M/s RITES
Limited.</t>
  </si>
  <si>
    <t>Supply of Main 
Equipment (Ex-
work Price)</t>
  </si>
  <si>
    <t>Erection &amp; 
Commissioning</t>
  </si>
  <si>
    <t>Associated Civil 
Works</t>
  </si>
  <si>
    <t>Ex Manufacturing 
works for Main
Equipment</t>
  </si>
  <si>
    <t>Installation 
Services -
Structual Works</t>
  </si>
  <si>
    <t>Project
Management
Cons Rites For 
Railway Siding</t>
  </si>
  <si>
    <t>Nomination</t>
  </si>
  <si>
    <t>ICB</t>
  </si>
  <si>
    <t>Limited Tender</t>
  </si>
  <si>
    <t>11.11.2011</t>
  </si>
  <si>
    <t>28.09.2013</t>
  </si>
  <si>
    <t>27.04.2010</t>
  </si>
  <si>
    <t>26.09.2012</t>
  </si>
  <si>
    <t>26.09.2013</t>
  </si>
  <si>
    <t>26.09.2014</t>
  </si>
  <si>
    <t>26.11.2013</t>
  </si>
  <si>
    <t>Engineering,
Procurement
&amp;Construction of 
Water Supply
Scheme in two
Stages (Stage I
Pump House
near Devulwada
Village, kotapalli
Mandal and
Stage II Pump
House near
Chennur</t>
  </si>
  <si>
    <t>Township &amp; Guest House &amp; other amenities</t>
  </si>
  <si>
    <t>BAY,CT and CVT</t>
  </si>
  <si>
    <t>O&amp;M-STEAG</t>
  </si>
  <si>
    <t>Estimated add cap for 2018-19</t>
  </si>
  <si>
    <t>Total estmated expenditure as on 31.03.2019</t>
  </si>
  <si>
    <t>Add cap from COD of unit 2 to 31.03.2017</t>
  </si>
  <si>
    <t>Add cap during 2017-18</t>
  </si>
  <si>
    <t>As per Revised Estimates approved by the board.</t>
  </si>
  <si>
    <t>1. In case of time and cost overrun, a detailed note giving reasons of such time and cost overrun should be submitted clearly bringing out the agency responsible and whether such time &amp; cost overrun was beyond the control of the generating company.</t>
  </si>
  <si>
    <t>UPTO COD of UNIT 2</t>
  </si>
  <si>
    <t>COD 2 to 31.03.2017</t>
  </si>
  <si>
    <t>Plants Roads &amp; Culverts</t>
  </si>
  <si>
    <t>Mandatory Capital Expenditure under MOEF clearance.</t>
  </si>
  <si>
    <t>Start up Power &amp; communication Equipment</t>
  </si>
  <si>
    <t>IDC AND Financing Expenditure</t>
  </si>
  <si>
    <t>Total estmated expenditure as on 31.03.2019 (submission dated 03.04.2017)</t>
  </si>
  <si>
    <t>As per Revised Estimates approved by the board. (RCE 2)</t>
  </si>
  <si>
    <t>Annexure -A</t>
  </si>
  <si>
    <t>Liability included</t>
  </si>
  <si>
    <t>Estimated liability discharged</t>
  </si>
  <si>
    <t>O&amp;M steag</t>
  </si>
  <si>
    <t>Liability openning</t>
  </si>
  <si>
    <t xml:space="preserve">Closing liability </t>
  </si>
  <si>
    <t>Liability statement as per submission dated 3.4.2017</t>
  </si>
  <si>
    <t>Item</t>
  </si>
  <si>
    <t>Liability as allowed by Hon'ble TSERC</t>
  </si>
  <si>
    <t>Liability discharged</t>
  </si>
  <si>
    <t>Additional Capitalisation.</t>
  </si>
  <si>
    <t>Capital cost closing.</t>
  </si>
  <si>
    <t>Capital cost opening</t>
  </si>
  <si>
    <t xml:space="preserve"> Capital cost approved vide TSERC tariff order dated 19.06.2017 vis-à-vis revised capital cost</t>
  </si>
  <si>
    <t>Approved</t>
  </si>
  <si>
    <t>Capital cost  as allowed by Hon'ble TSERC and revised submission.</t>
  </si>
  <si>
    <t>Revised Submission</t>
  </si>
  <si>
    <t>2TMC</t>
  </si>
  <si>
    <t>Railway</t>
  </si>
  <si>
    <t>Not capitalised on COD</t>
  </si>
  <si>
    <t>Revised claim as on COD of U 2</t>
  </si>
  <si>
    <t>Total expenditure as on COD of U 2 submitted before th commission</t>
  </si>
  <si>
    <t>Revised Cap cost U # 1</t>
  </si>
  <si>
    <t>Revised Cap cost U # 2</t>
  </si>
  <si>
    <t>Expenditure as on COD of unit 2</t>
  </si>
  <si>
    <t>Expenditure as on COD of Unit 1</t>
  </si>
  <si>
    <t>Computation of U 1 capital cost as per TSERC methodology</t>
  </si>
  <si>
    <t>Loan-1 (PFC-1)</t>
  </si>
  <si>
    <t>Loan-2 (PFC-2)</t>
  </si>
  <si>
    <t>Loan-3 (REC)</t>
  </si>
  <si>
    <t>Loan1 - PFC</t>
  </si>
  <si>
    <t>Loan2 - PFC</t>
  </si>
  <si>
    <t>Loan2 - REC</t>
  </si>
  <si>
    <t>Tot int</t>
  </si>
  <si>
    <t>Days</t>
  </si>
  <si>
    <t>Freehold Lands - STP</t>
  </si>
  <si>
    <t>Roads Bridgesculve</t>
  </si>
  <si>
    <t>Buildings (Factory)</t>
  </si>
  <si>
    <t>Buildings (Others)</t>
  </si>
  <si>
    <t>Plant &amp; Machinery</t>
  </si>
  <si>
    <t>Furniture &amp; Fixtures</t>
  </si>
  <si>
    <t>Computers &amp; Peripher</t>
  </si>
  <si>
    <t>Communication &amp; Equipment</t>
  </si>
  <si>
    <t>REC loan</t>
  </si>
  <si>
    <t>Drawn</t>
  </si>
  <si>
    <t>Gross block as on 31.03.2018</t>
  </si>
  <si>
    <t>Average Depreciation rate 2017-18</t>
  </si>
  <si>
    <t>Average Depreciation rate from 2.12.2016 to 31.03.2017</t>
  </si>
  <si>
    <t>2016-17</t>
  </si>
  <si>
    <t>PFC Loan 2</t>
  </si>
  <si>
    <t>Particular</t>
  </si>
  <si>
    <t>Savings of interest</t>
  </si>
  <si>
    <t>Computation of  interest rate including the benefit for loan restructuring</t>
  </si>
  <si>
    <t>Actual capital cost as on COD of unit 1 ( 25.09.2016)</t>
  </si>
  <si>
    <t>Actual capital cost as on COD of unit 2 (02.12.2016)</t>
  </si>
  <si>
    <t>CWIP</t>
  </si>
  <si>
    <t>Rs.</t>
  </si>
  <si>
    <t>12 years</t>
  </si>
  <si>
    <t>PFC-Loan 1</t>
  </si>
  <si>
    <t xml:space="preserve">REC </t>
  </si>
  <si>
    <t>(Amount in Rs Crores)</t>
  </si>
  <si>
    <t>Petitioner</t>
  </si>
  <si>
    <t>Details of Project Specific Loans</t>
  </si>
  <si>
    <t>Package 1</t>
  </si>
  <si>
    <t>Package  2</t>
  </si>
  <si>
    <t>Package  3</t>
  </si>
  <si>
    <t>Works undertaken by SCCL</t>
  </si>
  <si>
    <t>sub Total works under taken by SCCL</t>
  </si>
  <si>
    <t>3.10</t>
  </si>
  <si>
    <t>3.20</t>
  </si>
  <si>
    <t>included in Sl 4.8</t>
  </si>
  <si>
    <t xml:space="preserve">Coal Transport Roads </t>
  </si>
  <si>
    <t>As notified by PFC with 3 years reset</t>
  </si>
  <si>
    <t>Quarterly 
instalments</t>
  </si>
  <si>
    <t>PFC-Loan 2</t>
  </si>
  <si>
    <t>PL note : The relevant document of loan restructuring is attached.</t>
  </si>
  <si>
    <t>Actual capital cost as on 31.03.2017</t>
  </si>
  <si>
    <t>Actual capital cost as on 31.03.2018</t>
  </si>
  <si>
    <t>Amount Disbursed upto 31.03.2017</t>
  </si>
  <si>
    <t>Liability as on 31.03.2017</t>
  </si>
  <si>
    <t>Liability as on 31.03.2018</t>
  </si>
  <si>
    <t>Amount Disbursed upto 31.03.2018</t>
  </si>
  <si>
    <t>Actual capital cost as on 31.03.2019</t>
  </si>
  <si>
    <t>Depreciation from COD 2 to 31.03.2017</t>
  </si>
  <si>
    <t>Depreciation from 31.03.2017 to 31.03.2018</t>
  </si>
  <si>
    <t>Depreciation from 31.03.2018 to 31.03.2019</t>
  </si>
  <si>
    <t>Calculation of Depreciation Rate</t>
  </si>
  <si>
    <t>Depreciation Rate</t>
  </si>
  <si>
    <t>Communication &amp; Equip</t>
  </si>
  <si>
    <t>Computers &amp; Peripheral</t>
  </si>
  <si>
    <t xml:space="preserve">Freehold Lands </t>
  </si>
  <si>
    <t>Roads &amp; Bridges</t>
  </si>
  <si>
    <t>Other common expenditure to be apportioned to above heads.</t>
  </si>
  <si>
    <t xml:space="preserve">Total </t>
  </si>
  <si>
    <t>Yearly wt average of above rates.</t>
  </si>
  <si>
    <t>4.11</t>
  </si>
  <si>
    <t xml:space="preserve">Average </t>
  </si>
  <si>
    <t>COD unit 2</t>
  </si>
  <si>
    <t>Capital cost  as per truing up petition</t>
  </si>
  <si>
    <t>Capital cost as on COD of Unit 2</t>
  </si>
  <si>
    <t>Note : 1.Cost of 2 TMC and Rly siding was not included till 31.03.2018 as the works have not been completed.</t>
  </si>
  <si>
    <t>2 TMC</t>
  </si>
  <si>
    <t>Rly siding</t>
  </si>
  <si>
    <t>Capital expenditure as per 5B</t>
  </si>
  <si>
    <t>Difference with closing cap cost in  truing up</t>
  </si>
  <si>
    <t>Claim as on COD of U # 2 excluding liability and works not completed.</t>
  </si>
  <si>
    <t xml:space="preserve">Expenditure as on COD of unit 1 </t>
  </si>
  <si>
    <t xml:space="preserve">Expenditure as on COD of unit 2 </t>
  </si>
  <si>
    <t>PART-I</t>
  </si>
  <si>
    <t xml:space="preserve">Statement of Depreciation </t>
  </si>
  <si>
    <t>Financial Year</t>
  </si>
  <si>
    <t xml:space="preserve">Depreciation on Capital Cost </t>
  </si>
  <si>
    <t>Depreciation recovered during the Year</t>
  </si>
  <si>
    <t>FORM-13B</t>
  </si>
  <si>
    <t>FORM-13A</t>
  </si>
  <si>
    <t>FORM 16</t>
  </si>
  <si>
    <t>Add: Increase due to capital addition during the year / period and discharge of liability</t>
  </si>
  <si>
    <t>FORM- 14</t>
  </si>
  <si>
    <t>FORM 18 (LDO)</t>
  </si>
  <si>
    <t>FORM 18 (HFO)</t>
  </si>
  <si>
    <t>Appendix-II</t>
  </si>
  <si>
    <t>OF</t>
  </si>
  <si>
    <t xml:space="preserve">FOR </t>
  </si>
  <si>
    <t>Annual Fixed Charge</t>
  </si>
  <si>
    <t>Calculation of Operation and Maintenance Expenses</t>
  </si>
  <si>
    <t>(PETITIONER)</t>
  </si>
  <si>
    <t>As on the end of 4th Qtr of the FY 2017-18</t>
  </si>
  <si>
    <t>As on Scdelude COD of the station.</t>
  </si>
  <si>
    <t>Copy of  Resolution approving capital cost is attached.</t>
  </si>
  <si>
    <t>Note</t>
  </si>
  <si>
    <t>1.Copy of approval letter should be enclosed.</t>
  </si>
  <si>
    <t>2.Details of Capital cost are to be furnished as per Form 5B or 5C as applicable.</t>
  </si>
  <si>
    <t>3.Details of IDC &amp; Financing charges are to be furnished as per Form-16.</t>
  </si>
  <si>
    <t>Part-I</t>
  </si>
  <si>
    <t>Form-5A</t>
  </si>
  <si>
    <t xml:space="preserve"> projects</t>
  </si>
  <si>
    <t>Abstract of Capital Cost Estimates and Schedule of commissioning for the New Project</t>
  </si>
  <si>
    <t>FORM-11(Modified)</t>
  </si>
  <si>
    <t>Depreciation &amp; Additional Depreciation  during the year$$</t>
  </si>
  <si>
    <t>Cumulative Depreciation &amp; Additional Depreciation recovered upto the year</t>
  </si>
  <si>
    <t>COD of unit I</t>
  </si>
  <si>
    <t>COD of Unit II</t>
  </si>
  <si>
    <t>Capital cost including IDC &amp; FC (Rs.
 Crores)</t>
  </si>
  <si>
    <t>Part I</t>
  </si>
  <si>
    <t>Abstract of Admitted Capital Cost for the existing Projects </t>
  </si>
  <si>
    <t>Capital Cost as admitted by TSERC</t>
  </si>
  <si>
    <t>Form- 5 (Modified)</t>
  </si>
  <si>
    <t>(Give  reference  of  the  relevant  TSERC  Order with  Petition No. &amp; Date)</t>
  </si>
  <si>
    <t>Capital cost admitted as on 02.12.2016 in Crore</t>
  </si>
  <si>
    <t>Order dated 19.06.2017 in O.P. No. 09 of 2016</t>
  </si>
  <si>
    <t>Total Capital cost admitted (Rs. Cr) as on 31.03.2019 in Crore</t>
  </si>
  <si>
    <t>FORM- 13</t>
  </si>
  <si>
    <r>
      <t>Calculation of Weighted Average Rate of Interest on Actual Loans</t>
    </r>
    <r>
      <rPr>
        <b/>
        <vertAlign val="superscript"/>
        <sz val="9"/>
        <color theme="1"/>
        <rFont val="Arial"/>
        <family val="2"/>
      </rPr>
      <t>1</t>
    </r>
  </si>
  <si>
    <t>Sl No.</t>
  </si>
  <si>
    <r>
      <rPr>
        <b/>
        <u/>
        <sz val="10"/>
        <rFont val="Tahoma"/>
        <family val="2"/>
      </rPr>
      <t>Checklist of Forms and other information/ documents for tariff filing</t>
    </r>
    <r>
      <rPr>
        <b/>
        <sz val="10"/>
        <rFont val="Tahoma"/>
        <family val="2"/>
      </rPr>
      <t xml:space="preserve"> </t>
    </r>
    <r>
      <rPr>
        <b/>
        <u/>
        <sz val="10"/>
        <rFont val="Tahoma"/>
        <family val="2"/>
      </rPr>
      <t>for Thermal Stations</t>
    </r>
  </si>
  <si>
    <t>Form No.</t>
  </si>
  <si>
    <t>Title of Tariff Filing Forms (Thermal)</t>
  </si>
  <si>
    <t>Tick</t>
  </si>
  <si>
    <t>√</t>
  </si>
  <si>
    <t>FORM-2</t>
  </si>
  <si>
    <t>Plant Characteristics</t>
  </si>
  <si>
    <t>FORM-3</t>
  </si>
  <si>
    <t>Normative parameters considered for tariff computations</t>
  </si>
  <si>
    <t>FORM- 4</t>
  </si>
  <si>
    <t>Details of Foreign  loans</t>
  </si>
  <si>
    <t>Not Applicable</t>
  </si>
  <si>
    <t>FORM-5</t>
  </si>
  <si>
    <t>Abstract  of  Admitted  Capital  Cost  for  the  existing Projects</t>
  </si>
  <si>
    <t>FORM-5A</t>
  </si>
  <si>
    <t>Abstract  of   Capital  Cost  Estimates and Schedule  of Commissioning for the New projects</t>
  </si>
  <si>
    <t>FORM-5B</t>
  </si>
  <si>
    <t>Break-up of Capital cost for Coal/Lignite based projects</t>
  </si>
  <si>
    <t>FORM-5C</t>
  </si>
  <si>
    <t>Break-up  of  Capital  Cost  for  Gas/Liquid  fuel  based Projects</t>
  </si>
  <si>
    <t>FORM-5D</t>
  </si>
  <si>
    <t>Break-up of Construction/Supply/Service packages</t>
  </si>
  <si>
    <t>FORM- 6</t>
  </si>
  <si>
    <t>Financial Package upto COD</t>
  </si>
  <si>
    <t>FORM- 7</t>
  </si>
  <si>
    <t>FORM- 8</t>
  </si>
  <si>
    <t>Details  of  Allocation   of   corporate  loans  to  various projects</t>
  </si>
  <si>
    <t>Statement of Depreciation</t>
  </si>
  <si>
    <t>FORM- 12</t>
  </si>
  <si>
    <t>Calculation of Weighted Average Rate of Interest on Actual Loans1</t>
  </si>
  <si>
    <t>Working Capital</t>
  </si>
  <si>
    <t>FORM- 15</t>
  </si>
  <si>
    <t>Draw   Down   Schedule   for   Calculation   of   IDC   &amp; Financing Charges</t>
  </si>
  <si>
    <t>FORM-16</t>
  </si>
  <si>
    <t>CALCULATION  OF  OPERATION  AND  MAINTENANCE EXPENSES</t>
  </si>
  <si>
    <t>FORM-17</t>
  </si>
  <si>
    <t>DETAILS    OF    OPERATION    AND    MAINTENANCE EXPENSES</t>
  </si>
  <si>
    <t>FORM-18</t>
  </si>
  <si>
    <t>Details/Information  to  be  Submitted  in  respect  of Fuel for Computation of Energy Charges1</t>
  </si>
  <si>
    <t>Computation of interest rate including the benefit for loan restructuring</t>
  </si>
  <si>
    <t>Other Information/ Documents</t>
  </si>
  <si>
    <t>Information/Document</t>
  </si>
  <si>
    <t>Copies of relevant loan Agreements</t>
  </si>
  <si>
    <t>Copies  of  the  approval  of  Competent  Authority  for the Capital Cost  and Financial package.</t>
  </si>
  <si>
    <t>Copies  of  the  Equity  participation  agreements  and necessary approval for the foreign equity.</t>
  </si>
  <si>
    <t>Copies of the BPSA/PPA with the beneficiaries, if any</t>
  </si>
  <si>
    <t>Detailed  note  giving  reasons  of  time  and  cost  over run, if applicable.</t>
  </si>
  <si>
    <t>Any other relevant information, (Please specify)</t>
  </si>
  <si>
    <t>Note:  Electronic  copy  in  the  form  of  CD/Floppy  disc  shall also be furnished.</t>
  </si>
  <si>
    <t>Statement of Liability</t>
  </si>
  <si>
    <t>Appendix-III</t>
  </si>
  <si>
    <t>Details of input capital cost</t>
  </si>
  <si>
    <t>Appendix-IV</t>
  </si>
  <si>
    <t>Input Capital Cost</t>
  </si>
  <si>
    <t>Financial Package as approved</t>
  </si>
  <si>
    <t>Financial Package as on COD</t>
  </si>
  <si>
    <t>As admitted on COD</t>
  </si>
  <si>
    <t>Equity</t>
  </si>
  <si>
    <t>Foreign</t>
  </si>
  <si>
    <t>Total Eqiuity</t>
  </si>
  <si>
    <t>Debt : Equity Ratio</t>
  </si>
  <si>
    <t>7884.68 Crore</t>
  </si>
  <si>
    <r>
      <t>Currency and amount</t>
    </r>
    <r>
      <rPr>
        <b/>
        <vertAlign val="superscript"/>
        <sz val="12"/>
        <color rgb="FF000000"/>
        <rFont val="Times New Roman"/>
        <family val="1"/>
      </rPr>
      <t>3</t>
    </r>
  </si>
  <si>
    <r>
      <rPr>
        <vertAlign val="superscript"/>
        <sz val="12"/>
        <color rgb="FF000000"/>
        <rFont val="Times New Roman"/>
        <family val="1"/>
      </rPr>
      <t xml:space="preserve">1 </t>
    </r>
    <r>
      <rPr>
        <sz val="12"/>
        <color rgb="FF000000"/>
        <rFont val="Times New Roman"/>
        <family val="1"/>
      </rPr>
      <t>Say US $ 200 m +Rs 400 Cr or Rs 1200 Cr including US $200m at an exchange rate of 1 US $ = Rs 40/-</t>
    </r>
  </si>
  <si>
    <r>
      <rPr>
        <vertAlign val="superscript"/>
        <sz val="12"/>
        <color rgb="FF000000"/>
        <rFont val="Times New Roman"/>
        <family val="1"/>
      </rPr>
      <t>2</t>
    </r>
    <r>
      <rPr>
        <sz val="12"/>
        <color rgb="FF000000"/>
        <rFont val="Times New Roman"/>
        <family val="1"/>
      </rPr>
      <t xml:space="preserve"> Date of commercial Operation means commercial operation of last unit</t>
    </r>
  </si>
  <si>
    <r>
      <rPr>
        <vertAlign val="superscript"/>
        <sz val="12"/>
        <color rgb="FF000000"/>
        <rFont val="Times New Roman"/>
        <family val="1"/>
      </rPr>
      <t>3</t>
    </r>
    <r>
      <rPr>
        <sz val="12"/>
        <color rgb="FF000000"/>
        <rFont val="Times New Roman"/>
        <family val="1"/>
      </rPr>
      <t xml:space="preserve"> For example : US $,200 M etc</t>
    </r>
  </si>
  <si>
    <t>Calculation of return on Equity</t>
  </si>
  <si>
    <t>Calculation of Return on Equity</t>
  </si>
  <si>
    <t>Statement of liability</t>
  </si>
  <si>
    <t>FORM- 13B</t>
  </si>
  <si>
    <r>
      <t>Rate of Energy Charge from Primary Fuel (REC)p</t>
    </r>
    <r>
      <rPr>
        <vertAlign val="superscript"/>
        <sz val="11"/>
        <rFont val="Arial"/>
        <family val="2"/>
      </rPr>
      <t>2</t>
    </r>
  </si>
  <si>
    <r>
      <t>Rate of Energy Charge ex-bus(REC)</t>
    </r>
    <r>
      <rPr>
        <vertAlign val="superscript"/>
        <sz val="11"/>
        <rFont val="Arial"/>
        <family val="2"/>
      </rPr>
      <t>3A,3B,3C</t>
    </r>
  </si>
  <si>
    <r>
      <t>Calculation of Rate of  Energy^^ Charge(Rs./kWh)</t>
    </r>
    <r>
      <rPr>
        <b/>
        <vertAlign val="superscript"/>
        <sz val="11"/>
        <rFont val="Arial"/>
        <family val="2"/>
      </rPr>
      <t>1</t>
    </r>
  </si>
  <si>
    <t>(Rs. in Crores)</t>
  </si>
  <si>
    <t>AFC in Crore</t>
  </si>
  <si>
    <t>FC Rate (Rs/Kwh)</t>
  </si>
  <si>
    <t>Dates of Commissioning</t>
  </si>
  <si>
    <t>1.  A detailed note giving reasons of time overrun is submitted in Serial 6 of text petition.</t>
  </si>
  <si>
    <t>Note -In case of part year and the periods in which further loan drawal was made ,average net loan is computed based on loan  drawal dates.</t>
  </si>
  <si>
    <t>ADDITION DUE TO ADD CAP @ 30 % OF ADD CAP AND DISCHARGE OF LIABILITY</t>
  </si>
  <si>
    <t>(Amount in Rs Crs)</t>
  </si>
  <si>
    <t>The Singareni Collieries Company Ltd</t>
  </si>
  <si>
    <t>Board of Director/Agency approving the
 Capital Cost estimates</t>
  </si>
  <si>
    <t>Computation of U# 1 capital cost (as per methodology in order dated 19.06.2017)</t>
  </si>
  <si>
    <t>State :</t>
  </si>
  <si>
    <t>District :</t>
  </si>
  <si>
    <t>$$ Additional depreciation claimed for repayment of short duration loan (12Yrs)</t>
  </si>
  <si>
    <t>For preceeding 1st Month</t>
  </si>
  <si>
    <t>For preceeding 2nd Month</t>
  </si>
  <si>
    <t>For preceeding 3rd Month</t>
  </si>
  <si>
    <t>S.No.</t>
  </si>
  <si>
    <t>ECR = {(GHR – SFC x CVSF) x LPPF / CVPF+SFC x LPSFi } x 100 /(100 – AUX)</t>
  </si>
  <si>
    <t>1/3rd interest passed on to generating company.</t>
  </si>
  <si>
    <t>Total applicable intesest rate.
 (Sl 8+ Sl 11)</t>
  </si>
  <si>
    <t>Capital cost  approved by TSERC</t>
  </si>
  <si>
    <t>Serial No</t>
  </si>
  <si>
    <t>Reconciliation of capital cost applied with certified capital cost</t>
  </si>
  <si>
    <t>Total after adj (Sl 3+Sl 4+Sl 5-Sl6)</t>
  </si>
  <si>
    <t>Liability Discharged</t>
  </si>
  <si>
    <t>Submitted in truing up</t>
  </si>
  <si>
    <t>Diffecrence</t>
  </si>
  <si>
    <t>FY 2019-20</t>
  </si>
  <si>
    <t>FY 2020-21</t>
  </si>
  <si>
    <t>FY 2021-22</t>
  </si>
  <si>
    <t>FY 2022-23</t>
  </si>
  <si>
    <t>FY 2023-24</t>
  </si>
  <si>
    <t>O &amp; M expenses</t>
  </si>
  <si>
    <t>Maintenance Spares</t>
  </si>
  <si>
    <t>Recievables</t>
  </si>
  <si>
    <t>Rate of Interest</t>
  </si>
  <si>
    <r>
      <rPr>
        <b/>
        <sz val="11.5"/>
        <rFont val="Times New Roman"/>
        <family val="1"/>
      </rPr>
      <t>Sl.
No.</t>
    </r>
  </si>
  <si>
    <t>2019-20</t>
  </si>
  <si>
    <t>2020-21</t>
  </si>
  <si>
    <t>2021-22</t>
  </si>
  <si>
    <t>2022-23</t>
  </si>
  <si>
    <t>2023-24</t>
  </si>
  <si>
    <t>Name of the Company :</t>
  </si>
  <si>
    <t>Name of the Power Station :</t>
  </si>
  <si>
    <r>
      <t>Project Cost as on COD</t>
    </r>
    <r>
      <rPr>
        <b/>
        <vertAlign val="superscript"/>
        <sz val="14"/>
        <color rgb="FF000000"/>
        <rFont val="Times New Roman"/>
        <family val="1"/>
      </rPr>
      <t xml:space="preserve">1 </t>
    </r>
    <r>
      <rPr>
        <b/>
        <sz val="14"/>
        <color rgb="FF000000"/>
        <rFont val="Times New Roman"/>
        <family val="1"/>
      </rPr>
      <t>:</t>
    </r>
  </si>
  <si>
    <t>( Amount in Rs. Crores )</t>
  </si>
  <si>
    <t>Name of the Petitioner :</t>
  </si>
  <si>
    <t>Name of the Generating Station :</t>
  </si>
  <si>
    <r>
      <t>Date of Commercial Operation of the Station</t>
    </r>
    <r>
      <rPr>
        <b/>
        <vertAlign val="superscript"/>
        <sz val="14"/>
        <color rgb="FF000000"/>
        <rFont val="Times New Roman"/>
        <family val="1"/>
      </rPr>
      <t>2</t>
    </r>
    <r>
      <rPr>
        <b/>
        <sz val="14"/>
        <color rgb="FF000000"/>
        <rFont val="Times New Roman"/>
        <family val="1"/>
      </rPr>
      <t xml:space="preserve"> :</t>
    </r>
  </si>
  <si>
    <t>The Period 2019 -24</t>
  </si>
  <si>
    <t>Actual capital cost as on 31.03.2020</t>
  </si>
  <si>
    <t>Actual capital cost as on 31.03.2021</t>
  </si>
  <si>
    <t>Actual capital cost as on 31.03.2022</t>
  </si>
  <si>
    <t>Actual capital cost as on 31.03.2023</t>
  </si>
  <si>
    <t>Actual capital cost as on 31.03.2024</t>
  </si>
  <si>
    <t>Amount Disbursed upto 31.03.2019</t>
  </si>
  <si>
    <t>Liability as on 31.03.2019</t>
  </si>
  <si>
    <t>Amount Disbursed upto 31.03.2020</t>
  </si>
  <si>
    <t>Liability as on 31.03.2020</t>
  </si>
  <si>
    <t>Amount Disbursed upto 31.03.2021</t>
  </si>
  <si>
    <t>Liability as on 31.03.2021</t>
  </si>
  <si>
    <t>Amount Disbursed upto 31.03.2022</t>
  </si>
  <si>
    <t>Liability as on 31.03.2022</t>
  </si>
  <si>
    <t>Amount Disbursed upto 31.03.2023</t>
  </si>
  <si>
    <t>Liability as on 31.03.2023</t>
  </si>
  <si>
    <t>Adjustment (+/-)  in quantity supplied made by Coal/Lignite Company</t>
  </si>
  <si>
    <t>Normative Transit  &amp;  Handling  Losses  (For coal/Lignit based Projects)</t>
  </si>
  <si>
    <t>Total Transportation Charges (9+/-10-11+12)</t>
  </si>
  <si>
    <t>Year Ending March</t>
  </si>
  <si>
    <r>
      <t>1</t>
    </r>
    <r>
      <rPr>
        <sz val="10"/>
        <color rgb="FF000000"/>
        <rFont val="Arial"/>
        <family val="2"/>
      </rPr>
      <t xml:space="preserve"> Describe the basic characteristics of the plant e.g. in the case of a coal based plant whether it is a conventional steam generator or circulating fluidized bed combustion generator or sub-critical once through steam generator etc.</t>
    </r>
  </si>
  <si>
    <r>
      <t>2</t>
    </r>
    <r>
      <rPr>
        <sz val="10"/>
        <color rgb="FF000000"/>
        <rFont val="Arial"/>
        <family val="2"/>
      </rPr>
      <t xml:space="preserve"> Any site specific feature such as Merry-Go-Round, Vicinity to sea, intake/ makeup water systems etc., scrubbers etc. Specify all such features.</t>
    </r>
  </si>
  <si>
    <r>
      <t>3</t>
    </r>
    <r>
      <rPr>
        <sz val="10"/>
        <color rgb="FF000000"/>
        <rFont val="Arial"/>
        <family val="2"/>
      </rPr>
      <t xml:space="preserve"> Any special technological feature like Advanced class FA technology in Gas Turbines, etc.</t>
    </r>
  </si>
  <si>
    <r>
      <t xml:space="preserve">4 </t>
    </r>
    <r>
      <rPr>
        <sz val="10"/>
        <color rgb="FF000000"/>
        <rFont val="Arial"/>
        <family val="2"/>
      </rPr>
      <t>Environmental Regulation related features like FGD, ESP, etc.</t>
    </r>
  </si>
  <si>
    <r>
      <t>5</t>
    </r>
    <r>
      <rPr>
        <sz val="10"/>
        <color rgb="FF000000"/>
        <rFont val="Arial"/>
        <family val="2"/>
      </rPr>
      <t xml:space="preserve"> Coal (type of coal included) or natural gas or naphtha or lignite etc. </t>
    </r>
  </si>
  <si>
    <r>
      <t xml:space="preserve">6 </t>
    </r>
    <r>
      <rPr>
        <sz val="10"/>
        <color rgb="FF000000"/>
        <rFont val="Arial"/>
        <family val="2"/>
      </rPr>
      <t>Closed circuit cooling with type of cooling tower (natural draft or mechanical draft (forced or induced)), once through cooling, sea cooling, dry cooling etc.</t>
    </r>
  </si>
  <si>
    <r>
      <t xml:space="preserve">7 </t>
    </r>
    <r>
      <rPr>
        <sz val="10"/>
        <color rgb="FF000000"/>
        <rFont val="Arial"/>
        <family val="2"/>
      </rPr>
      <t>Design Heat Rate of a generating unit means the unit heat rate guaranteed by the supplier at conditions of 100% MCR, zero percent make up, design coal and design cooling water temperature/back pressure</t>
    </r>
  </si>
  <si>
    <t>Govt of Telangana on the recommendation of SCCL Board</t>
  </si>
  <si>
    <r>
      <rPr>
        <sz val="11"/>
        <rFont val="Tahoma"/>
        <family val="2"/>
      </rPr>
      <t>Source of Loan</t>
    </r>
    <r>
      <rPr>
        <vertAlign val="superscript"/>
        <sz val="11"/>
        <rFont val="Tahoma"/>
        <family val="2"/>
      </rPr>
      <t>1</t>
    </r>
  </si>
  <si>
    <r>
      <rPr>
        <sz val="11"/>
        <rFont val="Tahoma"/>
        <family val="2"/>
      </rPr>
      <t>Currency</t>
    </r>
    <r>
      <rPr>
        <vertAlign val="superscript"/>
        <sz val="11"/>
        <rFont val="Tahoma"/>
        <family val="2"/>
      </rPr>
      <t>2</t>
    </r>
  </si>
  <si>
    <t>Amount of Loan sanctioned</t>
  </si>
  <si>
    <r>
      <rPr>
        <sz val="11"/>
        <rFont val="Tahoma"/>
        <family val="2"/>
      </rPr>
      <t xml:space="preserve">Amount of Gross Loan drawn upto
31.03.2004/COD </t>
    </r>
    <r>
      <rPr>
        <vertAlign val="superscript"/>
        <sz val="11"/>
        <rFont val="Tahoma"/>
        <family val="2"/>
      </rPr>
      <t>3,4,5,13,15</t>
    </r>
  </si>
  <si>
    <r>
      <rPr>
        <sz val="11"/>
        <rFont val="Tahoma"/>
        <family val="2"/>
      </rPr>
      <t>Interest Type</t>
    </r>
    <r>
      <rPr>
        <vertAlign val="superscript"/>
        <sz val="11"/>
        <rFont val="Tahoma"/>
        <family val="2"/>
      </rPr>
      <t>6</t>
    </r>
  </si>
  <si>
    <t>Fixed Interest Rate, if applicable</t>
  </si>
  <si>
    <r>
      <rPr>
        <sz val="11"/>
        <rFont val="Tahoma"/>
        <family val="2"/>
      </rPr>
      <t>Base Rate, if Floating Interest</t>
    </r>
    <r>
      <rPr>
        <vertAlign val="superscript"/>
        <sz val="11"/>
        <rFont val="Tahoma"/>
        <family val="2"/>
      </rPr>
      <t>7</t>
    </r>
  </si>
  <si>
    <r>
      <rPr>
        <sz val="11"/>
        <rFont val="Tahoma"/>
        <family val="2"/>
      </rPr>
      <t>Margin, if Floating Interest</t>
    </r>
    <r>
      <rPr>
        <vertAlign val="superscript"/>
        <sz val="11"/>
        <rFont val="Tahoma"/>
        <family val="2"/>
      </rPr>
      <t>8</t>
    </r>
  </si>
  <si>
    <r>
      <rPr>
        <sz val="11"/>
        <rFont val="Tahoma"/>
        <family val="2"/>
      </rPr>
      <t>Are there any Caps/Floor</t>
    </r>
    <r>
      <rPr>
        <vertAlign val="superscript"/>
        <sz val="11"/>
        <rFont val="Tahoma"/>
        <family val="2"/>
      </rPr>
      <t>9</t>
    </r>
  </si>
  <si>
    <t>If above is yes,specify caps/floor</t>
  </si>
  <si>
    <r>
      <rPr>
        <sz val="11"/>
        <rFont val="Tahoma"/>
        <family val="2"/>
      </rPr>
      <t>Moratorium Period</t>
    </r>
    <r>
      <rPr>
        <vertAlign val="superscript"/>
        <sz val="11"/>
        <rFont val="Tahoma"/>
        <family val="2"/>
      </rPr>
      <t>10</t>
    </r>
  </si>
  <si>
    <t>Moratorium effective from</t>
  </si>
  <si>
    <r>
      <rPr>
        <sz val="11"/>
        <rFont val="Tahoma"/>
        <family val="2"/>
      </rPr>
      <t>Repayment Period</t>
    </r>
    <r>
      <rPr>
        <vertAlign val="superscript"/>
        <sz val="11"/>
        <rFont val="Tahoma"/>
        <family val="2"/>
      </rPr>
      <t>11</t>
    </r>
  </si>
  <si>
    <t>Repayment effective from</t>
  </si>
  <si>
    <r>
      <rPr>
        <sz val="11"/>
        <rFont val="Tahoma"/>
        <family val="2"/>
      </rPr>
      <t>Repayment Frequency</t>
    </r>
    <r>
      <rPr>
        <vertAlign val="superscript"/>
        <sz val="11"/>
        <rFont val="Tahoma"/>
        <family val="2"/>
      </rPr>
      <t>12</t>
    </r>
  </si>
  <si>
    <r>
      <rPr>
        <sz val="11"/>
        <rFont val="Tahoma"/>
        <family val="2"/>
      </rPr>
      <t>Repayment Instalment</t>
    </r>
    <r>
      <rPr>
        <vertAlign val="superscript"/>
        <sz val="11"/>
        <rFont val="Tahoma"/>
        <family val="2"/>
      </rPr>
      <t>13,14</t>
    </r>
  </si>
  <si>
    <r>
      <rPr>
        <sz val="11"/>
        <rFont val="Tahoma"/>
        <family val="2"/>
      </rPr>
      <t>Base Exchange Rate</t>
    </r>
    <r>
      <rPr>
        <vertAlign val="superscript"/>
        <sz val="11"/>
        <rFont val="Tahoma"/>
        <family val="2"/>
      </rPr>
      <t>16</t>
    </r>
  </si>
  <si>
    <r>
      <rPr>
        <vertAlign val="superscript"/>
        <sz val="11"/>
        <rFont val="Tahoma"/>
        <family val="2"/>
      </rPr>
      <t xml:space="preserve">1 </t>
    </r>
    <r>
      <rPr>
        <sz val="11"/>
        <rFont val="Tahoma"/>
        <family val="2"/>
      </rPr>
      <t>Source of loan means the agency from whom the loan has been taken such as WB, ADB, WMB, PNB, SBI, ICICI, IFC, PFC etc.</t>
    </r>
  </si>
  <si>
    <r>
      <rPr>
        <vertAlign val="superscript"/>
        <sz val="11"/>
        <rFont val="Tahoma"/>
        <family val="2"/>
      </rPr>
      <t xml:space="preserve">2 </t>
    </r>
    <r>
      <rPr>
        <sz val="11"/>
        <rFont val="Tahoma"/>
        <family val="2"/>
      </rPr>
      <t>Currency refers to currency of loan such as US$, DM, Yen,Indian Rupee etc.</t>
    </r>
  </si>
  <si>
    <r>
      <rPr>
        <vertAlign val="superscript"/>
        <sz val="11"/>
        <rFont val="Tahoma"/>
        <family val="2"/>
      </rPr>
      <t xml:space="preserve">3 </t>
    </r>
    <r>
      <rPr>
        <sz val="11"/>
        <rFont val="Tahoma"/>
        <family val="2"/>
      </rPr>
      <t>Details are to be submitted as on 31.03.2004 for existing assets and as on COD for the remaining assets.</t>
    </r>
  </si>
  <si>
    <r>
      <rPr>
        <vertAlign val="superscript"/>
        <sz val="11"/>
        <rFont val="Tahoma"/>
        <family val="2"/>
      </rPr>
      <t xml:space="preserve">4 </t>
    </r>
    <r>
      <rPr>
        <sz val="11"/>
        <rFont val="Tahoma"/>
        <family val="2"/>
      </rPr>
      <t>Where the loan has been refinanced, details in the Form is to be given for the loan refinaced. However, the details of the original loan is to be given seperately in the same form.</t>
    </r>
  </si>
  <si>
    <r>
      <rPr>
        <vertAlign val="superscript"/>
        <sz val="11"/>
        <rFont val="Tahoma"/>
        <family val="2"/>
      </rPr>
      <t xml:space="preserve">5 </t>
    </r>
    <r>
      <rPr>
        <sz val="11"/>
        <rFont val="Tahoma"/>
        <family val="2"/>
      </rPr>
      <t>If the Tariff in the petition is claimed seperately for various units, details in the Form is to be given seperately for all the units in the same form.</t>
    </r>
  </si>
  <si>
    <r>
      <rPr>
        <vertAlign val="superscript"/>
        <sz val="11"/>
        <rFont val="Tahoma"/>
        <family val="2"/>
      </rPr>
      <t xml:space="preserve">6 </t>
    </r>
    <r>
      <rPr>
        <sz val="11"/>
        <rFont val="Tahoma"/>
        <family val="2"/>
      </rPr>
      <t>Interest type means whether the interest is fixed or floating.</t>
    </r>
  </si>
  <si>
    <r>
      <rPr>
        <vertAlign val="superscript"/>
        <sz val="11"/>
        <rFont val="Tahoma"/>
        <family val="2"/>
      </rPr>
      <t xml:space="preserve">7 </t>
    </r>
    <r>
      <rPr>
        <sz val="11"/>
        <rFont val="Tahoma"/>
        <family val="2"/>
      </rPr>
      <t>Base rate means the base as PLR, LIBOR etc. over which the margin is to be added. Applicable base rate on different dates from the date of drawl may also be enclosed.</t>
    </r>
  </si>
  <si>
    <r>
      <rPr>
        <vertAlign val="superscript"/>
        <sz val="11"/>
        <rFont val="Tahoma"/>
        <family val="2"/>
      </rPr>
      <t xml:space="preserve">8 </t>
    </r>
    <r>
      <rPr>
        <sz val="11"/>
        <rFont val="Tahoma"/>
        <family val="2"/>
      </rPr>
      <t>Margin means the points over and above the floating rate.</t>
    </r>
  </si>
  <si>
    <r>
      <rPr>
        <vertAlign val="superscript"/>
        <sz val="11"/>
        <rFont val="Tahoma"/>
        <family val="2"/>
      </rPr>
      <t xml:space="preserve">9 </t>
    </r>
    <r>
      <rPr>
        <sz val="11"/>
        <rFont val="Tahoma"/>
        <family val="2"/>
      </rPr>
      <t>At times caps/floor are put at which the floating rates are frozen. If such a condition exists, specify the limits.</t>
    </r>
  </si>
  <si>
    <r>
      <rPr>
        <vertAlign val="superscript"/>
        <sz val="11"/>
        <rFont val="Tahoma"/>
        <family val="2"/>
      </rPr>
      <t xml:space="preserve">10 </t>
    </r>
    <r>
      <rPr>
        <sz val="11"/>
        <rFont val="Tahoma"/>
        <family val="2"/>
      </rPr>
      <t>Moratorium period refers to the period during which loan servicing liability is not required.</t>
    </r>
  </si>
  <si>
    <r>
      <rPr>
        <vertAlign val="superscript"/>
        <sz val="11"/>
        <rFont val="Tahoma"/>
        <family val="2"/>
      </rPr>
      <t xml:space="preserve">11 </t>
    </r>
    <r>
      <rPr>
        <sz val="11"/>
        <rFont val="Tahoma"/>
        <family val="2"/>
      </rPr>
      <t>Repayment period means the repayment of loan such as 7 years, 10 years, 25 years etc.</t>
    </r>
  </si>
  <si>
    <r>
      <rPr>
        <vertAlign val="superscript"/>
        <sz val="11"/>
        <rFont val="Tahoma"/>
        <family val="2"/>
      </rPr>
      <t xml:space="preserve">12 </t>
    </r>
    <r>
      <rPr>
        <sz val="11"/>
        <rFont val="Tahoma"/>
        <family val="2"/>
      </rPr>
      <t>Repayment frequency means the interval at which the debt servicing is to be done such as monthly, quarterly, half yearly, annual, etc.</t>
    </r>
  </si>
  <si>
    <r>
      <rPr>
        <vertAlign val="superscript"/>
        <sz val="11"/>
        <rFont val="Tahoma"/>
        <family val="2"/>
      </rPr>
      <t xml:space="preserve">13 </t>
    </r>
    <r>
      <rPr>
        <sz val="11"/>
        <rFont val="Tahoma"/>
        <family val="2"/>
      </rPr>
      <t>Where there is more than one drawal/repayment for a loan, the date &amp; amount of each drawal/repayement may also be given seperately</t>
    </r>
  </si>
  <si>
    <r>
      <rPr>
        <vertAlign val="superscript"/>
        <sz val="11"/>
        <rFont val="Tahoma"/>
        <family val="2"/>
      </rPr>
      <t xml:space="preserve">14 </t>
    </r>
    <r>
      <rPr>
        <sz val="11"/>
        <rFont val="Tahoma"/>
        <family val="2"/>
      </rPr>
      <t>If the repayment  instalment amount and repayment date  can not be worked out from the data furnished above, the repayment schedule to be  furnished seperately.</t>
    </r>
  </si>
  <si>
    <r>
      <rPr>
        <vertAlign val="superscript"/>
        <sz val="11"/>
        <rFont val="Tahoma"/>
        <family val="2"/>
      </rPr>
      <t xml:space="preserve">15 </t>
    </r>
    <r>
      <rPr>
        <sz val="11"/>
        <rFont val="Tahoma"/>
        <family val="2"/>
      </rPr>
      <t>In case of Foreign loan,date of each  drawal &amp; repayment alongwith exchange rate at that date may be given.</t>
    </r>
  </si>
  <si>
    <r>
      <rPr>
        <vertAlign val="superscript"/>
        <sz val="11"/>
        <rFont val="Tahoma"/>
        <family val="2"/>
      </rPr>
      <t xml:space="preserve">16 </t>
    </r>
    <r>
      <rPr>
        <sz val="11"/>
        <rFont val="Tahoma"/>
        <family val="2"/>
      </rPr>
      <t>Base exchange rate means the exchange rate prevailing as on 31.03.2004 for existing assets and as on COD for the remaining assets.</t>
    </r>
  </si>
  <si>
    <t>Name of the Company :              The Singareni Collieries Company Limited</t>
  </si>
  <si>
    <t>Name of the Power Station :     Singareni Thermal Power Project</t>
  </si>
  <si>
    <t>Quantity of oil supplied  by Coal/Lignite Company</t>
  </si>
  <si>
    <t>Quantity of oil supplied by Coal/Lignite Company</t>
  </si>
  <si>
    <t>Transportation charges  by rail/ship/road transport</t>
  </si>
  <si>
    <t>Name of the Petitioner:</t>
  </si>
  <si>
    <t>Name of the Generating Station:</t>
  </si>
  <si>
    <t>02/12/2016 to 
31/3/2017</t>
  </si>
  <si>
    <t>Singareni Thermal power Project</t>
  </si>
  <si>
    <t>Certificate of incorporation, Certificate  for Commencment of Business, Memorandum of Association, &amp;  Articles of Association ( For New Station setup by a company making tariff application for the first time to CERC)</t>
  </si>
  <si>
    <t>Stationwise and Corporate audited  Balance  Sheet and Profit &amp; Loss Accounts with all the Schedules &amp; annexures on COD of the Station for the new station
&amp;  for the relevant years.</t>
  </si>
  <si>
    <t>Repairs and Maintenance Expense (R&amp;M)</t>
  </si>
  <si>
    <t>Opening Gross Fixed Asset (GFA)</t>
  </si>
  <si>
    <t>FY 2016-17</t>
  </si>
  <si>
    <t xml:space="preserve">Annualised R&amp;M </t>
  </si>
  <si>
    <t>Kn (Average K in preceding control period)</t>
  </si>
  <si>
    <t>FY 2020-21
(n = 2)</t>
  </si>
  <si>
    <t>FY 2019-20
( n = 1)</t>
  </si>
  <si>
    <t>FY 2021-22
(n = 3)</t>
  </si>
  <si>
    <t>FY 2022-23
(n = 4)</t>
  </si>
  <si>
    <t>FY 2023-24
(n = 5)</t>
  </si>
  <si>
    <t>K in percentage ( Annualised R&amp;M / GFA)</t>
  </si>
  <si>
    <t>WPI inflation (Base Year 2011-12)</t>
  </si>
  <si>
    <t>WPI inflation in %</t>
  </si>
  <si>
    <t>Average WPI%</t>
  </si>
  <si>
    <t>(In Crore)</t>
  </si>
  <si>
    <t>Estimated WPI (nth power of sum of one and Average WPI % in preceding control period)</t>
  </si>
  <si>
    <t xml:space="preserve">R&amp;Mn ( Sl 1 x Sl 3 x Sl 3 % ) </t>
  </si>
  <si>
    <t>R&amp;M n = Kn x GFAn x WPI inflation</t>
  </si>
  <si>
    <t>EMPn = (EMPb x CPI inflation )+provision</t>
  </si>
  <si>
    <t>Employee Cost</t>
  </si>
  <si>
    <t>Annualised EMP</t>
  </si>
  <si>
    <t>Normative O&amp;M</t>
  </si>
  <si>
    <t>O&amp;M  Cost actual</t>
  </si>
  <si>
    <t>Savings in O&amp;M</t>
  </si>
  <si>
    <t>Annualised savings in O&amp;M</t>
  </si>
  <si>
    <t>Gains by generator ( 1/3) rd</t>
  </si>
  <si>
    <t>Employee cost</t>
  </si>
  <si>
    <r>
      <t>EMP</t>
    </r>
    <r>
      <rPr>
        <vertAlign val="subscript"/>
        <sz val="14"/>
        <color theme="1"/>
        <rFont val="Times New Roman"/>
        <family val="1"/>
      </rPr>
      <t>b</t>
    </r>
    <r>
      <rPr>
        <sz val="14"/>
        <color theme="1"/>
        <rFont val="Times New Roman"/>
        <family val="1"/>
      </rPr>
      <t xml:space="preserve"> (Average trued up employee expenses after adding /deducting share of efficiency gains/losses in preceding control period)</t>
    </r>
  </si>
  <si>
    <t>CPI inflation in %</t>
  </si>
  <si>
    <t>Average CPI%</t>
  </si>
  <si>
    <t>CPI inflation (Base 1982 = 100)</t>
  </si>
  <si>
    <r>
      <t>Provision ( 5% of EMP</t>
    </r>
    <r>
      <rPr>
        <vertAlign val="subscript"/>
        <sz val="14"/>
        <color theme="1"/>
        <rFont val="Times New Roman"/>
        <family val="1"/>
      </rPr>
      <t>b</t>
    </r>
    <r>
      <rPr>
        <sz val="14"/>
        <color theme="1"/>
        <rFont val="Times New Roman"/>
        <family val="1"/>
      </rPr>
      <t>)</t>
    </r>
  </si>
  <si>
    <t>EMPn</t>
  </si>
  <si>
    <t>EMPn  [ (EMPb x CPI inflation )+provision ]</t>
  </si>
  <si>
    <t xml:space="preserve"> C .Estimation of Administrative &amp; General Expense ( A&amp;Gn)  [ Regulation 19.4 ]</t>
  </si>
  <si>
    <t>A&amp;Gn = (A&amp;Gfo x Inflation Factor )+provision</t>
  </si>
  <si>
    <t>A&amp;G Expense</t>
  </si>
  <si>
    <t>Inflation factor</t>
  </si>
  <si>
    <t>B. Estimation of Repair &amp; Maintenance expenditure (R&amp;M) n [ Reg 19.3 ]</t>
  </si>
  <si>
    <t>A1. Gain /loss computation in O&amp;M</t>
  </si>
  <si>
    <t xml:space="preserve"> A2 .Estimation of Employee Cost (EMPn)  [ Regulation 19.2 ]</t>
  </si>
  <si>
    <t>A&amp;Gfo (Average A&amp;G expense in preceding control period)</t>
  </si>
  <si>
    <t>Annualised A&amp;G expense</t>
  </si>
  <si>
    <t>Estimated inflation factor (nth power of sum of one and Average inflation factor in preceding control period)</t>
  </si>
  <si>
    <t>Summary of O&amp;M Expenditure</t>
  </si>
  <si>
    <t>R&amp;Mn</t>
  </si>
  <si>
    <t>A&amp;Gn</t>
  </si>
  <si>
    <t>O&amp;Mn  [( R&amp;Mn +EMPn +A&amp;Gn)*99%]</t>
  </si>
  <si>
    <t>Provision ( 5% of A&amp;Gfo)</t>
  </si>
  <si>
    <t>Minus</t>
  </si>
  <si>
    <t>Payable for one month's oil cost</t>
  </si>
  <si>
    <t>Payable for one month's coal cost</t>
  </si>
  <si>
    <t>7% + aux for FGD 1.5%</t>
  </si>
  <si>
    <t>As per regulation 19</t>
  </si>
  <si>
    <t>as per CERC</t>
  </si>
  <si>
    <t>1 year MCLR declared by SBI +1.5%</t>
  </si>
  <si>
    <t>Cost of Coal/Lignite for working capital</t>
  </si>
  <si>
    <t>Cost of Secondary Fuel Oil for working capital</t>
  </si>
  <si>
    <t>O &amp; M Expenses  for working capital</t>
  </si>
  <si>
    <t>Maintenance Spares for working capital</t>
  </si>
  <si>
    <t>Recievables for working capital</t>
  </si>
  <si>
    <t>interest on Working Capital</t>
  </si>
  <si>
    <t>as per regulation 21.4</t>
  </si>
  <si>
    <t>Note : 1 year MCLR of SBI as on 10th Feb 2019 = 8.55%</t>
  </si>
  <si>
    <t>INR Crs</t>
  </si>
  <si>
    <t>As allowed for KTPP stage- II  and STPP ( both have 600 MW units)</t>
  </si>
  <si>
    <t>kCal/kWh</t>
  </si>
  <si>
    <t>in Months</t>
  </si>
  <si>
    <t>Paise / kWh</t>
  </si>
  <si>
    <t>gms/Kwh</t>
  </si>
  <si>
    <t>Limestone consumption norm ( for SOx control) -wet limestone type.</t>
  </si>
  <si>
    <t>Cost of limestone for working capital</t>
  </si>
  <si>
    <t>Not specified,hence considered as per draft CERC reg</t>
  </si>
  <si>
    <t>ADDITION DUE TO ADD CAP^^</t>
  </si>
  <si>
    <t xml:space="preserve">Return on Equity </t>
  </si>
  <si>
    <t>^^ As per proposed Capital Investment Plan (CIP) for 2019-24 submitted before this Hon'ble commission.</t>
  </si>
  <si>
    <t>(IN Crores)</t>
  </si>
  <si>
    <t>SL NO</t>
  </si>
  <si>
    <t>DESCRIPTION</t>
  </si>
  <si>
    <t>FLUE GAS DE-SULPHURISATION SYSTEM (FGD)</t>
  </si>
  <si>
    <t>IN-FURNACE MODIFICATIONS FOR NOX MITIGATION</t>
  </si>
  <si>
    <t>OPERATION &amp; MAINTENANCE MODULES</t>
  </si>
  <si>
    <t>RAILWAY WORKS</t>
  </si>
  <si>
    <t>MAIN PLANT CIVIL WORKS</t>
  </si>
  <si>
    <t>TOWNSHIP CIVIL WORKS</t>
  </si>
  <si>
    <t>Watch towers and road along boundary wall</t>
  </si>
  <si>
    <t>Parking shed at CISF time office</t>
  </si>
  <si>
    <t>Construction of creche and rest hall</t>
  </si>
  <si>
    <t xml:space="preserve">Construction of shed for lube oil barrels, RCC pit for hazardous waste </t>
  </si>
  <si>
    <t>Ash trucks parking yards at ash weighbridge near main gate</t>
  </si>
  <si>
    <t>CC flooring around HCSD silo area</t>
  </si>
  <si>
    <t>Widening of CC platforms and roads around IDCT</t>
  </si>
  <si>
    <t>CC Roads around Stacker Reclaimer</t>
  </si>
  <si>
    <t>Paving with chequered tiles under pipe &amp; cable rack areas and below coal gantries</t>
  </si>
  <si>
    <t>RCC drain along fly ash transport road</t>
  </si>
  <si>
    <t>Extension of BOP &amp; BTG drains up to peripheral compound wall</t>
  </si>
  <si>
    <t>Chambers and dewatering pumps in main plant area</t>
  </si>
  <si>
    <t>Sewage pits (pumps) / pipe line from BTG area to STP</t>
  </si>
  <si>
    <t>Metal road on reservoir bund</t>
  </si>
  <si>
    <t>B.T. over inspection road along periphery compound wall from Ash dyke to Rly bridge across Rasulpalli vagu ( 3.60 KM) and B.T. road over reservoir</t>
  </si>
  <si>
    <t>Making approaches to plantation at various locations</t>
  </si>
  <si>
    <t>Bridge over diverted nala near CISF time office</t>
  </si>
  <si>
    <t xml:space="preserve">Work stations , furniture's and portico in Administration building and service building. </t>
  </si>
  <si>
    <t>Construction of public buildings like shopping complex, sports complex and other necessary infrastructures.</t>
  </si>
  <si>
    <t>Township Development works like construction of roads, drains &amp; water supply in township, providing electric overhead lines,  providing fencing around parks, providing protected parking for vehicles and creating club infrastructure.</t>
  </si>
  <si>
    <t xml:space="preserve">Electrification and furniture for CISF. </t>
  </si>
  <si>
    <t>Extension of armoury building for CISF, CC pavement and rest sheds</t>
  </si>
  <si>
    <t>Parade ground, Stage and roads for CISF</t>
  </si>
  <si>
    <t>Modification to open shed at Guest house into AC Hall</t>
  </si>
  <si>
    <t>Connection of sanitary system of Township to STP</t>
  </si>
  <si>
    <t xml:space="preserve">Rain harvesting structures </t>
  </si>
  <si>
    <t>Asset Class</t>
  </si>
  <si>
    <t>Railway siding</t>
  </si>
  <si>
    <t>Gate complex ,security etc</t>
  </si>
  <si>
    <t>Environment</t>
  </si>
  <si>
    <t>Roads and culverts</t>
  </si>
  <si>
    <t>Furniture and office automation</t>
  </si>
  <si>
    <t xml:space="preserve">TOTAL OF MAIN PLANT CIVIL WORKS </t>
  </si>
  <si>
    <t>CAPITAL INVESTMENT PLAN FOR FY 2019-24 SEGREGATED IN ASSET CLASSES</t>
  </si>
  <si>
    <t>A</t>
  </si>
  <si>
    <t>B</t>
  </si>
  <si>
    <t>C</t>
  </si>
  <si>
    <t>D</t>
  </si>
  <si>
    <t>E</t>
  </si>
  <si>
    <t>F</t>
  </si>
  <si>
    <t>G</t>
  </si>
  <si>
    <t>H</t>
  </si>
  <si>
    <t>I</t>
  </si>
  <si>
    <t>J</t>
  </si>
  <si>
    <t>K</t>
  </si>
  <si>
    <t>L</t>
  </si>
  <si>
    <t>M</t>
  </si>
  <si>
    <t>O</t>
  </si>
  <si>
    <t>P</t>
  </si>
  <si>
    <t>Q</t>
  </si>
  <si>
    <t>R</t>
  </si>
  <si>
    <t>TOTAL OF TOWNSHIP CIVIL WORKS</t>
  </si>
  <si>
    <t>Grand Total</t>
  </si>
  <si>
    <t>Depreciation from 01.04.2019 to 31.03.2020</t>
  </si>
  <si>
    <t>Depreciation from 01.04.2020 to 31.03.2021</t>
  </si>
  <si>
    <t>Depreciation from 01.04.2021 to 31.03.2022</t>
  </si>
  <si>
    <t>Depreciation from 01.04.2022 to 31.03.2023</t>
  </si>
  <si>
    <t>Depreciation from 01.04.2023 to 31.03.2024</t>
  </si>
  <si>
    <t>The depreciation is computed as per depreciation schedule given in  CERC regulation.</t>
  </si>
  <si>
    <t>Computation of price and GCV of Oil</t>
  </si>
  <si>
    <t>Road</t>
  </si>
  <si>
    <t>Rail</t>
  </si>
  <si>
    <t>(MT)</t>
  </si>
  <si>
    <t>Rate of Energy Charge ex-bus per kWh  ***</t>
  </si>
  <si>
    <t>Cost of Coal for 2 months ^^</t>
  </si>
  <si>
    <t>Cost of Secondary Fuel Oil for two months.</t>
  </si>
  <si>
    <t>^^  30 days coal cost for non pit head station and cost of coal for 30 days as per regulation 13.1 (a) and 13.1(b).</t>
  </si>
  <si>
    <t>EC Rate (Rs/Kwh)</t>
  </si>
  <si>
    <t>Total (Rs/Kwh)</t>
  </si>
  <si>
    <t>STATION</t>
  </si>
  <si>
    <t>UNIT</t>
  </si>
  <si>
    <t>DERIVATION</t>
  </si>
  <si>
    <t>Ensuing Year</t>
  </si>
  <si>
    <t>Four</t>
  </si>
  <si>
    <t>Three</t>
  </si>
  <si>
    <t>Two</t>
  </si>
  <si>
    <t>One</t>
  </si>
  <si>
    <t>Five</t>
  </si>
  <si>
    <t>Gross Generation</t>
  </si>
  <si>
    <t>Anxilliary consumption</t>
  </si>
  <si>
    <t>Sent-out Energy</t>
  </si>
  <si>
    <t>3=1-2</t>
  </si>
  <si>
    <t>Rs. Lakhs</t>
  </si>
  <si>
    <t>Total Fuel Cost</t>
  </si>
  <si>
    <t>18=16+17</t>
  </si>
  <si>
    <t>Notes:</t>
  </si>
  <si>
    <t>Applicant</t>
  </si>
  <si>
    <t>Ref.</t>
  </si>
  <si>
    <t>Rs Lakhs</t>
  </si>
  <si>
    <t>(Rs. In Lakh)</t>
  </si>
  <si>
    <t>1st year</t>
  </si>
  <si>
    <t>2nd year</t>
  </si>
  <si>
    <t>3rd year</t>
  </si>
  <si>
    <t>4th year</t>
  </si>
  <si>
    <t>5th year</t>
  </si>
  <si>
    <t>Projected revenue at Current Tariff</t>
  </si>
  <si>
    <t>Projected Aggregate Revenue Requirement</t>
  </si>
  <si>
    <r>
      <rPr>
        <sz val="14"/>
        <rFont val="Times New Roman"/>
        <family val="1"/>
      </rPr>
      <t>Expected Revenue
from Charges at Proposed Tariff</t>
    </r>
  </si>
  <si>
    <t>COST OF FUEL FOR STPP</t>
  </si>
  <si>
    <t xml:space="preserve"> Permitted Incentive</t>
  </si>
  <si>
    <t xml:space="preserve"> Summarised Revenue Requirement </t>
  </si>
  <si>
    <t>Incentive</t>
  </si>
  <si>
    <t>O&amp;M for FGD (2%  of  FGD cost)</t>
  </si>
  <si>
    <t>Interest on Working Capital for FGD</t>
  </si>
  <si>
    <t>O&amp;M for NOx (2%  of  NOx  mitigation project cost)</t>
  </si>
  <si>
    <t>Coal and oil cost for generation</t>
  </si>
  <si>
    <t>Reagent cost for FGD system</t>
  </si>
  <si>
    <t xml:space="preserve">Less non tariff income from </t>
  </si>
  <si>
    <t>Income from rent of land or buildings</t>
  </si>
  <si>
    <t>Net Income from sale of de-capitalised assets</t>
  </si>
  <si>
    <t>Net Income from sale of scrap</t>
  </si>
  <si>
    <t>Income from statutory investments</t>
  </si>
  <si>
    <t>Interest on advances to suppliers/contractors</t>
  </si>
  <si>
    <t>Rental from staff quarters</t>
  </si>
  <si>
    <t>Rental from contractors</t>
  </si>
  <si>
    <t>Income from investment of consumer security deposit</t>
  </si>
  <si>
    <t>Income from hire charges from contactors and others, etc.</t>
  </si>
  <si>
    <t>Income from the sale of ash/ rejected coal</t>
  </si>
  <si>
    <t>Other income</t>
  </si>
  <si>
    <t>Electricity from Employees &amp; Contractors</t>
  </si>
  <si>
    <t>Rs Lakh</t>
  </si>
  <si>
    <t>FGD capital cost</t>
  </si>
  <si>
    <t>O&amp;M for FGD (2%  of  FGD capital cost)</t>
  </si>
  <si>
    <t>Rs Crores</t>
  </si>
  <si>
    <t>O&amp;M for NOx (2%  of  capital cost for NOx  mitigation )</t>
  </si>
  <si>
    <t>FGD system</t>
  </si>
  <si>
    <t>Lime stone Cost in Rs/Ton</t>
  </si>
  <si>
    <t>Limestone consumption at 85% PLF for both the units in Ton/Hr</t>
  </si>
  <si>
    <t>No of Hrs in operation</t>
  </si>
  <si>
    <t>O&amp;M cost</t>
  </si>
  <si>
    <t>Reagent cost</t>
  </si>
  <si>
    <t>Yearly Cost of Lime stone</t>
  </si>
  <si>
    <t>Cost of limestone for 30 Days</t>
  </si>
  <si>
    <t>Maint spares@ 20% of O&amp;M expenses</t>
  </si>
  <si>
    <t>One month's O&amp;M</t>
  </si>
  <si>
    <t>Rate of Interest (%)</t>
  </si>
  <si>
    <t>Int on working Capital</t>
  </si>
  <si>
    <t>Nox mitigation system</t>
  </si>
  <si>
    <t>Variable Charges</t>
  </si>
  <si>
    <t>O &amp; M Expenses (without FGD and Nox mitigation system)</t>
  </si>
  <si>
    <t>Interest on Working Capital (without FGD  system)</t>
  </si>
  <si>
    <t>Other Charges</t>
  </si>
  <si>
    <t>Net Ex bus generation ( MU)</t>
  </si>
  <si>
    <t>Energy charge Rate</t>
  </si>
  <si>
    <t>Rs/Kwh</t>
  </si>
  <si>
    <t xml:space="preserve">Cost of Fuel </t>
  </si>
  <si>
    <t>5 = 3 x 4</t>
  </si>
  <si>
    <t>In Crore</t>
  </si>
  <si>
    <t>Sent Out Units</t>
  </si>
  <si>
    <t>Target PLF</t>
  </si>
  <si>
    <t xml:space="preserve">Incentive Rate for additional generation
</t>
  </si>
  <si>
    <t>Incentive for additional generation</t>
  </si>
  <si>
    <t xml:space="preserve">Units to be sent out at target PLF </t>
  </si>
  <si>
    <t>Additional Generation</t>
  </si>
  <si>
    <t>Rs Crs</t>
  </si>
  <si>
    <t>Return on Equity</t>
  </si>
  <si>
    <t>Sub Total (Annual Fixed Charges)</t>
  </si>
  <si>
    <t>Sub Total (Variable Charges)</t>
  </si>
  <si>
    <t>Sub Total ( NTI )</t>
  </si>
  <si>
    <t>Total gross annual revenue requirement (A+B+C+D)</t>
  </si>
  <si>
    <t>Coal price</t>
  </si>
  <si>
    <t>GCV of coal</t>
  </si>
  <si>
    <t>Coal price/GCV</t>
  </si>
  <si>
    <t>LDO Price</t>
  </si>
  <si>
    <t>HFO Price</t>
  </si>
  <si>
    <t>₋</t>
  </si>
  <si>
    <t>Serial NO</t>
  </si>
  <si>
    <t>Monthly increase of Coal price /GCV</t>
  </si>
  <si>
    <t>Monthly average</t>
  </si>
  <si>
    <t>Yearly increase</t>
  </si>
  <si>
    <t>Monthly increase of LDO price</t>
  </si>
  <si>
    <t>Monthly increase of HFO price</t>
  </si>
  <si>
    <t xml:space="preserve">Increase in coal price </t>
  </si>
  <si>
    <t>Increase in oil price</t>
  </si>
  <si>
    <t>Sub Total (Other Charges)</t>
  </si>
  <si>
    <t>Tariff filing fees</t>
  </si>
  <si>
    <t>Average cost of electricity in Rs/Kwh (G / H )</t>
  </si>
  <si>
    <t>ANNEXURE-</t>
  </si>
  <si>
    <t>Estimated capital cost as on 31.03.2019</t>
  </si>
  <si>
    <t xml:space="preserve">1.  The audited capital expenditure upto September,2018 is submitted in truing up petition a copy of which is also submitted with the tariff petition for FY 2019-24. </t>
  </si>
  <si>
    <t>2.  Once the capital cost for september 18 to March 19 is ascertained ,the same shall be submitted before the Hon'ble TSERC on provisional basis.Further, on receipt of audited capital cost upto 31.03.2019, the same will be submitted before the commissionm.</t>
  </si>
  <si>
    <t>Additional  Revenue Requirement for FGD and Nox mitigation system</t>
  </si>
  <si>
    <t>( with the assumption that demand of oil will deccrease with increase in use of renewable energy)</t>
  </si>
  <si>
    <t>Tariff for the control period 2019-24</t>
  </si>
  <si>
    <t>Current Annual Fixed Charges</t>
  </si>
  <si>
    <t>Average increase in tariff</t>
  </si>
  <si>
    <t xml:space="preserve">Projected Revenue at current tariff, Projected Aggregate Revenue Requirement and Expected Revenue from Charges at proposed tariff for the ensuing years of the control period </t>
  </si>
  <si>
    <t>Percentage increase/decrease sought in the application for each of the ensuing year compared to the previous year.</t>
  </si>
  <si>
    <t>Summary of different component of fixed and energy charges</t>
  </si>
  <si>
    <t>TARIFF  COMPUTATION</t>
  </si>
  <si>
    <t>Grossed up rate of ROE% (with MAT rate 21.55%)</t>
  </si>
  <si>
    <t>Net Working Capital</t>
  </si>
  <si>
    <t>Gross Working Capital [ 3 +4 +5+6+7]</t>
  </si>
  <si>
    <t xml:space="preserve"> Energy Charge</t>
  </si>
  <si>
    <t>Aggregate revenue requirement to be recovered from tariff (E-F)</t>
  </si>
  <si>
    <t>Please note : 
A.Terminal liabilities such as death cum retirement gratuity,pension ,commuted pension ,leave encashment ,LTC,medical reimbursement in respect of pensioners will be submitted during mid-term review and end of control period review.
B.License fee ,Audit fee water cess , water charges  and other statutory charges will be submitted during truing up.</t>
  </si>
  <si>
    <t>^^ Energy Charges provisionally computed based on past trend.However, actual billing will be made as per TSERC generation generation tariff regulation for 2019.</t>
  </si>
  <si>
    <t>Estimated CPI (nth power of sum of one and Average CPI % in preceding control period)</t>
  </si>
  <si>
    <t>One time Investment to upgrade existing lighting scheme to LED as per business plan.</t>
  </si>
  <si>
    <t>Fuel cost at current energy charges</t>
  </si>
  <si>
    <t>Expected Revenue
gap</t>
  </si>
  <si>
    <t>Singareni Thermal Power Station</t>
  </si>
  <si>
    <t>Pl Note : Fuel data given above is the actual data for January,February ,March 2019.</t>
  </si>
  <si>
    <t>Weighted average GCV of coal/ Lignite as received.</t>
  </si>
  <si>
    <t>*** The base enrgy charge for 2019-20 was computed based on average of coal price during January 2019,February 2019 and March 2019 escalated by 11% and oil price prevalent during October ,November and December 2018 escaleted by 15% .The energy charge for subsequent years is computed based upon estimated escalation in coal price and oil price of 11% and 15% respectively.</t>
  </si>
  <si>
    <t>There was no purchase of LDO or HFO in February and March 2019.</t>
  </si>
  <si>
    <t>Two wagon tippler with line laying and consultancy service.</t>
  </si>
</sst>
</file>

<file path=xl/styles.xml><?xml version="1.0" encoding="utf-8"?>
<styleSheet xmlns="http://schemas.openxmlformats.org/spreadsheetml/2006/main">
  <numFmts count="23">
    <numFmt numFmtId="44" formatCode="_ &quot;₹&quot;\ * #,##0.00_ ;_ &quot;₹&quot;\ * \-#,##0.00_ ;_ &quot;₹&quot;\ * &quot;-&quot;??_ ;_ @_ "/>
    <numFmt numFmtId="43" formatCode="_ * #,##0.00_ ;_ * \-#,##0.00_ ;_ * &quot;-&quot;??_ ;_ @_ "/>
    <numFmt numFmtId="164" formatCode="_(* #,##0_);_(* \(#,##0\);_(* &quot;-&quot;_);_(@_)"/>
    <numFmt numFmtId="165" formatCode="_(* #,##0.00_);_(* \(#,##0.00\);_(* &quot;-&quot;??_);_(@_)"/>
    <numFmt numFmtId="166" formatCode="0.0"/>
    <numFmt numFmtId="167" formatCode="0_);\(0\)"/>
    <numFmt numFmtId="168" formatCode="m\.d\.yy;@"/>
    <numFmt numFmtId="169" formatCode="0.0000"/>
    <numFmt numFmtId="170" formatCode="0.000"/>
    <numFmt numFmtId="171" formatCode="_(* #,##0.0000_);_(* \(#,##0.0000\);_(* &quot;-&quot;??_);_(@_)"/>
    <numFmt numFmtId="172" formatCode="_(* #,##0.00000_);_(* \(#,##0.00000\);_(* &quot;-&quot;??_);_(@_)"/>
    <numFmt numFmtId="173" formatCode="0.00000"/>
    <numFmt numFmtId="174" formatCode="0.00_)"/>
    <numFmt numFmtId="175" formatCode="_(* #,##0_);_(* \(#,##0\);_(* &quot;-&quot;??_);_(@_)"/>
    <numFmt numFmtId="176" formatCode="_(* #,##0.000_);_(* \(#,##0.000\);_(* &quot;-&quot;???_);_(@_)"/>
    <numFmt numFmtId="177" formatCode="_ * #,##0_ ;_ * \-#,##0_ ;_ * &quot;-&quot;??_ ;_ @_ "/>
    <numFmt numFmtId="178" formatCode="[$-F800]dddd\,\ mmmm\ dd\,\ yyyy"/>
    <numFmt numFmtId="179" formatCode="0.0000000000000%"/>
    <numFmt numFmtId="180" formatCode="#\ ??/100"/>
    <numFmt numFmtId="181" formatCode="_ * #,##0.000_ ;_ * \-#,##0.000_ ;_ * &quot;-&quot;??_ ;_ @_ "/>
    <numFmt numFmtId="182" formatCode="0.0000%"/>
    <numFmt numFmtId="183" formatCode="0."/>
    <numFmt numFmtId="184" formatCode="0.0%"/>
  </numFmts>
  <fonts count="184">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5"/>
      <name val="Tahoma"/>
      <family val="2"/>
    </font>
    <font>
      <sz val="8.5"/>
      <name val="Tahoma"/>
      <family val="2"/>
    </font>
    <font>
      <b/>
      <sz val="8.5"/>
      <color rgb="FF000000"/>
      <name val="Tahoma"/>
      <family val="2"/>
    </font>
    <font>
      <sz val="7"/>
      <name val="Arial"/>
      <family val="2"/>
    </font>
    <font>
      <b/>
      <sz val="8"/>
      <name val="Arial"/>
      <family val="2"/>
    </font>
    <font>
      <sz val="8"/>
      <color rgb="FF000000"/>
      <name val="Arial"/>
      <family val="2"/>
    </font>
    <font>
      <b/>
      <sz val="5.5"/>
      <name val="Tahoma"/>
      <family val="2"/>
    </font>
    <font>
      <b/>
      <sz val="10.5"/>
      <name val="Arial"/>
      <family val="2"/>
    </font>
    <font>
      <b/>
      <sz val="8.5"/>
      <color rgb="FF000000"/>
      <name val="Arial"/>
      <family val="2"/>
    </font>
    <font>
      <sz val="8.5"/>
      <name val="Arial"/>
      <family val="2"/>
    </font>
    <font>
      <b/>
      <sz val="10"/>
      <name val="Tahoma"/>
      <family val="2"/>
    </font>
    <font>
      <sz val="10"/>
      <name val="Tahoma"/>
      <family val="2"/>
    </font>
    <font>
      <b/>
      <sz val="5.5"/>
      <color rgb="FF000000"/>
      <name val="Tahoma"/>
      <family val="2"/>
    </font>
    <font>
      <sz val="5.5"/>
      <color rgb="FF000000"/>
      <name val="Tahoma"/>
      <family val="2"/>
    </font>
    <font>
      <sz val="5.5"/>
      <name val="Tahoma"/>
      <family val="2"/>
    </font>
    <font>
      <sz val="4.5"/>
      <name val="Arial"/>
      <family val="2"/>
    </font>
    <font>
      <b/>
      <sz val="6"/>
      <name val="Tahoma"/>
      <family val="2"/>
    </font>
    <font>
      <b/>
      <sz val="6"/>
      <color rgb="FF000000"/>
      <name val="Tahoma"/>
      <family val="2"/>
    </font>
    <font>
      <sz val="6"/>
      <color rgb="FF000000"/>
      <name val="Tahoma"/>
      <family val="2"/>
    </font>
    <font>
      <sz val="6"/>
      <name val="Tahoma"/>
      <family val="2"/>
    </font>
    <font>
      <b/>
      <sz val="10"/>
      <color rgb="FF000000"/>
      <name val="Tahoma"/>
      <family val="2"/>
    </font>
    <font>
      <b/>
      <sz val="11"/>
      <name val="Tahoma"/>
      <family val="2"/>
    </font>
    <font>
      <b/>
      <sz val="11"/>
      <name val="Arial"/>
      <family val="2"/>
    </font>
    <font>
      <sz val="11"/>
      <name val="Tahoma"/>
      <family val="2"/>
    </font>
    <font>
      <b/>
      <sz val="11"/>
      <color rgb="FF000000"/>
      <name val="Tahoma"/>
      <family val="2"/>
    </font>
    <font>
      <sz val="11"/>
      <color rgb="FF000000"/>
      <name val="Tahoma"/>
      <family val="2"/>
    </font>
    <font>
      <sz val="9"/>
      <name val="Arial"/>
      <family val="2"/>
    </font>
    <font>
      <b/>
      <sz val="11.5"/>
      <name val="Tahoma"/>
      <family val="2"/>
    </font>
    <font>
      <sz val="9"/>
      <name val="Tahoma"/>
      <family val="2"/>
    </font>
    <font>
      <sz val="9"/>
      <color rgb="FF000000"/>
      <name val="Tahoma"/>
      <family val="2"/>
    </font>
    <font>
      <b/>
      <sz val="9"/>
      <name val="Tahoma"/>
      <family val="2"/>
    </font>
    <font>
      <b/>
      <u/>
      <sz val="8.5"/>
      <name val="Tahoma"/>
      <family val="2"/>
    </font>
    <font>
      <sz val="8"/>
      <name val="Arial"/>
      <family val="2"/>
    </font>
    <font>
      <b/>
      <vertAlign val="superscript"/>
      <sz val="5.5"/>
      <name val="Tahoma"/>
      <family val="2"/>
    </font>
    <font>
      <b/>
      <u/>
      <sz val="5.5"/>
      <name val="Tahoma"/>
      <family val="2"/>
    </font>
    <font>
      <vertAlign val="superscript"/>
      <sz val="5.5"/>
      <name val="Tahoma"/>
      <family val="2"/>
    </font>
    <font>
      <b/>
      <sz val="10.5"/>
      <name val="Arial"/>
      <family val="2"/>
    </font>
    <font>
      <vertAlign val="superscript"/>
      <sz val="8.5"/>
      <name val="Tahoma"/>
      <family val="2"/>
    </font>
    <font>
      <b/>
      <sz val="10"/>
      <name val="Tahoma"/>
      <family val="2"/>
    </font>
    <font>
      <sz val="10"/>
      <name val="Tahoma"/>
      <family val="2"/>
    </font>
    <font>
      <b/>
      <u/>
      <sz val="6"/>
      <name val="Tahoma"/>
      <family val="2"/>
    </font>
    <font>
      <b/>
      <vertAlign val="superscript"/>
      <sz val="3.5"/>
      <name val="Tahoma"/>
      <family val="2"/>
    </font>
    <font>
      <vertAlign val="superscript"/>
      <sz val="3.5"/>
      <name val="Tahoma"/>
      <family val="2"/>
    </font>
    <font>
      <vertAlign val="superscript"/>
      <sz val="5"/>
      <name val="Tahoma"/>
      <family val="2"/>
    </font>
    <font>
      <b/>
      <sz val="11"/>
      <name val="Tahoma"/>
      <family val="2"/>
    </font>
    <font>
      <b/>
      <sz val="11"/>
      <name val="Arial"/>
      <family val="2"/>
    </font>
    <font>
      <b/>
      <vertAlign val="superscript"/>
      <sz val="6"/>
      <name val="Tahoma"/>
      <family val="2"/>
    </font>
    <font>
      <sz val="10"/>
      <name val="Arial"/>
      <family val="2"/>
    </font>
    <font>
      <sz val="12"/>
      <name val="Times New Roman"/>
      <family val="1"/>
    </font>
    <font>
      <sz val="10"/>
      <name val="Arial"/>
      <family val="2"/>
    </font>
    <font>
      <b/>
      <sz val="12"/>
      <name val="Times New Roman"/>
      <family val="1"/>
    </font>
    <font>
      <b/>
      <u/>
      <sz val="12"/>
      <name val="Times New Roman"/>
      <family val="1"/>
    </font>
    <font>
      <sz val="12"/>
      <color rgb="FF0000FF"/>
      <name val="Times New Roman"/>
      <family val="1"/>
    </font>
    <font>
      <sz val="12"/>
      <color rgb="FFFF0000"/>
      <name val="Times New Roman"/>
      <family val="1"/>
    </font>
    <font>
      <sz val="11"/>
      <color indexed="8"/>
      <name val="Calibri"/>
      <family val="2"/>
    </font>
    <font>
      <b/>
      <sz val="10"/>
      <name val="Arial"/>
      <family val="2"/>
    </font>
    <font>
      <b/>
      <u/>
      <sz val="10.5"/>
      <name val="Arial"/>
      <family val="2"/>
    </font>
    <font>
      <b/>
      <u/>
      <vertAlign val="superscript"/>
      <sz val="10.5"/>
      <name val="Arial"/>
      <family val="2"/>
    </font>
    <font>
      <b/>
      <sz val="12"/>
      <name val="Arial"/>
      <family val="2"/>
    </font>
    <font>
      <sz val="11"/>
      <name val="Arial"/>
      <family val="2"/>
    </font>
    <font>
      <sz val="12"/>
      <name val="Arial"/>
      <family val="2"/>
    </font>
    <font>
      <b/>
      <sz val="14"/>
      <name val="Arial"/>
      <family val="2"/>
    </font>
    <font>
      <sz val="12"/>
      <name val="Tahoma"/>
      <family val="2"/>
    </font>
    <font>
      <b/>
      <u/>
      <vertAlign val="superscript"/>
      <sz val="12"/>
      <name val="Times New Roman"/>
      <family val="1"/>
    </font>
    <font>
      <sz val="10"/>
      <name val="Times New Roman"/>
      <family val="1"/>
    </font>
    <font>
      <sz val="10"/>
      <color rgb="FF000000"/>
      <name val="Times New Roman"/>
      <family val="1"/>
    </font>
    <font>
      <b/>
      <sz val="10"/>
      <color rgb="FF000000"/>
      <name val="Times New Roman"/>
      <family val="1"/>
    </font>
    <font>
      <vertAlign val="superscript"/>
      <sz val="11"/>
      <name val="Arial"/>
      <family val="2"/>
    </font>
    <font>
      <vertAlign val="superscript"/>
      <sz val="10"/>
      <name val="Tahoma"/>
      <family val="2"/>
    </font>
    <font>
      <sz val="11"/>
      <color indexed="8"/>
      <name val="Times New Roman"/>
      <family val="1"/>
    </font>
    <font>
      <sz val="11"/>
      <color rgb="FF000000"/>
      <name val="Times New Roman"/>
      <family val="1"/>
    </font>
    <font>
      <b/>
      <sz val="12"/>
      <name val="Tahoma"/>
      <family val="2"/>
    </font>
    <font>
      <sz val="12"/>
      <color rgb="FF000000"/>
      <name val="Times New Roman"/>
      <family val="1"/>
    </font>
    <font>
      <b/>
      <sz val="11"/>
      <color rgb="FF000000"/>
      <name val="Times New Roman"/>
      <family val="1"/>
    </font>
    <font>
      <vertAlign val="superscript"/>
      <sz val="11"/>
      <name val="Tahoma"/>
      <family val="2"/>
    </font>
    <font>
      <b/>
      <sz val="9"/>
      <color theme="1"/>
      <name val="Arial"/>
      <family val="2"/>
    </font>
    <font>
      <b/>
      <sz val="9"/>
      <color rgb="FF000000"/>
      <name val="Arial"/>
      <family val="2"/>
    </font>
    <font>
      <sz val="9"/>
      <color theme="1"/>
      <name val="Arial"/>
      <family val="2"/>
    </font>
    <font>
      <b/>
      <vertAlign val="superscript"/>
      <sz val="9"/>
      <color rgb="FF000000"/>
      <name val="Arial"/>
      <family val="2"/>
    </font>
    <font>
      <sz val="9"/>
      <color rgb="FF000000"/>
      <name val="Arial"/>
      <family val="2"/>
    </font>
    <font>
      <vertAlign val="superscript"/>
      <sz val="9"/>
      <color rgb="FF000000"/>
      <name val="Arial"/>
      <family val="2"/>
    </font>
    <font>
      <b/>
      <sz val="12"/>
      <color theme="1"/>
      <name val="Calibri"/>
      <family val="2"/>
      <scheme val="minor"/>
    </font>
    <font>
      <sz val="9"/>
      <color theme="1"/>
      <name val="Calibri"/>
      <family val="2"/>
      <scheme val="minor"/>
    </font>
    <font>
      <b/>
      <sz val="11"/>
      <color rgb="FF000000"/>
      <name val="Arial"/>
      <family val="2"/>
    </font>
    <font>
      <b/>
      <sz val="11"/>
      <color theme="1"/>
      <name val="Arial"/>
      <family val="2"/>
    </font>
    <font>
      <b/>
      <sz val="14"/>
      <color rgb="FF000000"/>
      <name val="Arial"/>
      <family val="2"/>
    </font>
    <font>
      <b/>
      <sz val="14"/>
      <color theme="1"/>
      <name val="Arial"/>
      <family val="2"/>
    </font>
    <font>
      <sz val="11"/>
      <color rgb="FF000000"/>
      <name val="Arial"/>
      <family val="2"/>
    </font>
    <font>
      <b/>
      <sz val="12"/>
      <color rgb="FF000000"/>
      <name val="Times New Roman"/>
      <family val="1"/>
    </font>
    <font>
      <b/>
      <sz val="14"/>
      <color rgb="FF000000"/>
      <name val="Times New Roman"/>
      <family val="1"/>
    </font>
    <font>
      <b/>
      <u/>
      <sz val="14"/>
      <name val="Times New Roman"/>
      <family val="1"/>
    </font>
    <font>
      <sz val="10"/>
      <color rgb="FF000000"/>
      <name val="Times New Roman"/>
      <family val="1"/>
    </font>
    <font>
      <b/>
      <sz val="11"/>
      <color theme="1"/>
      <name val="Calibri"/>
      <family val="2"/>
      <scheme val="minor"/>
    </font>
    <font>
      <b/>
      <sz val="16"/>
      <color rgb="FF000000"/>
      <name val="Times New Roman"/>
      <family val="1"/>
    </font>
    <font>
      <b/>
      <vertAlign val="superscript"/>
      <sz val="9"/>
      <color theme="1"/>
      <name val="Arial"/>
      <family val="2"/>
    </font>
    <font>
      <b/>
      <sz val="8"/>
      <color rgb="FF000000"/>
      <name val="Arial"/>
      <family val="2"/>
    </font>
    <font>
      <b/>
      <u/>
      <sz val="8"/>
      <color rgb="FF000000"/>
      <name val="Arial"/>
      <family val="2"/>
    </font>
    <font>
      <b/>
      <sz val="10"/>
      <color rgb="FF000000"/>
      <name val="Arial"/>
      <family val="2"/>
    </font>
    <font>
      <b/>
      <sz val="16"/>
      <color theme="1"/>
      <name val="Calibri"/>
      <family val="2"/>
      <scheme val="minor"/>
    </font>
    <font>
      <sz val="12"/>
      <color theme="1"/>
      <name val="Calibri"/>
      <family val="2"/>
      <scheme val="minor"/>
    </font>
    <font>
      <sz val="12"/>
      <color rgb="FF000000"/>
      <name val="Arial"/>
      <family val="2"/>
    </font>
    <font>
      <b/>
      <sz val="16"/>
      <color rgb="FF000000"/>
      <name val="Arial"/>
      <family val="2"/>
    </font>
    <font>
      <b/>
      <sz val="16"/>
      <color theme="1"/>
      <name val="Arial"/>
      <family val="2"/>
    </font>
    <font>
      <sz val="9"/>
      <name val="Arial"/>
      <family val="2"/>
    </font>
    <font>
      <b/>
      <sz val="9"/>
      <name val="Arial"/>
      <family val="2"/>
    </font>
    <font>
      <vertAlign val="superscript"/>
      <sz val="14"/>
      <color rgb="FF000000"/>
      <name val="Arial"/>
      <family val="2"/>
    </font>
    <font>
      <sz val="9"/>
      <color rgb="FFFF0000"/>
      <name val="Arial"/>
      <family val="2"/>
    </font>
    <font>
      <b/>
      <sz val="9"/>
      <color theme="1"/>
      <name val="Calibri"/>
      <family val="2"/>
      <scheme val="minor"/>
    </font>
    <font>
      <b/>
      <sz val="9"/>
      <color rgb="FFFF0000"/>
      <name val="Arial"/>
      <family val="2"/>
    </font>
    <font>
      <sz val="10"/>
      <color theme="1"/>
      <name val="Calibri"/>
      <family val="2"/>
      <scheme val="minor"/>
    </font>
    <font>
      <b/>
      <sz val="11"/>
      <name val="Times New Roman"/>
      <family val="1"/>
    </font>
    <font>
      <b/>
      <sz val="14"/>
      <color theme="1"/>
      <name val="Calibri"/>
      <family val="2"/>
      <scheme val="minor"/>
    </font>
    <font>
      <sz val="10"/>
      <color rgb="FF000000"/>
      <name val="Arial"/>
      <family val="2"/>
    </font>
    <font>
      <i/>
      <sz val="12"/>
      <color rgb="FF000000"/>
      <name val="Tahoma"/>
      <family val="2"/>
    </font>
    <font>
      <i/>
      <sz val="12"/>
      <color rgb="FF000000"/>
      <name val="Times New Roman"/>
      <family val="1"/>
    </font>
    <font>
      <i/>
      <sz val="12"/>
      <color rgb="FF000000"/>
      <name val="Arial"/>
      <family val="2"/>
    </font>
    <font>
      <sz val="14"/>
      <color rgb="FF000000"/>
      <name val="Times New Roman"/>
      <family val="1"/>
    </font>
    <font>
      <sz val="14"/>
      <color theme="1"/>
      <name val="Calibri"/>
      <family val="2"/>
      <scheme val="minor"/>
    </font>
    <font>
      <b/>
      <sz val="12"/>
      <color theme="1"/>
      <name val="Times New Roman"/>
      <family val="1"/>
    </font>
    <font>
      <sz val="12"/>
      <color theme="1"/>
      <name val="Times New Roman"/>
      <family val="1"/>
    </font>
    <font>
      <sz val="20"/>
      <color rgb="FF000000"/>
      <name val="Times New Roman"/>
      <family val="1"/>
    </font>
    <font>
      <b/>
      <sz val="20"/>
      <color rgb="FF000000"/>
      <name val="Times New Roman"/>
      <family val="1"/>
    </font>
    <font>
      <b/>
      <i/>
      <sz val="12"/>
      <color rgb="FF000000"/>
      <name val="Tahoma"/>
      <family val="2"/>
    </font>
    <font>
      <b/>
      <u/>
      <sz val="14"/>
      <color rgb="FF000000"/>
      <name val="Times New Roman"/>
      <family val="1"/>
    </font>
    <font>
      <sz val="10"/>
      <color rgb="FF000000"/>
      <name val="Times New Roman"/>
      <family val="1"/>
    </font>
    <font>
      <b/>
      <u/>
      <sz val="10"/>
      <name val="Tahoma"/>
      <family val="2"/>
    </font>
    <font>
      <sz val="10"/>
      <color rgb="FF000000"/>
      <name val="Calibri"/>
      <family val="2"/>
    </font>
    <font>
      <b/>
      <sz val="14"/>
      <name val="Times New Roman"/>
      <family val="1"/>
    </font>
    <font>
      <b/>
      <vertAlign val="superscript"/>
      <sz val="12"/>
      <color rgb="FF000000"/>
      <name val="Times New Roman"/>
      <family val="1"/>
    </font>
    <font>
      <b/>
      <vertAlign val="superscript"/>
      <sz val="14"/>
      <color rgb="FF000000"/>
      <name val="Times New Roman"/>
      <family val="1"/>
    </font>
    <font>
      <vertAlign val="superscript"/>
      <sz val="12"/>
      <color rgb="FF000000"/>
      <name val="Times New Roman"/>
      <family val="1"/>
    </font>
    <font>
      <b/>
      <vertAlign val="superscript"/>
      <sz val="11"/>
      <name val="Arial"/>
      <family val="2"/>
    </font>
    <font>
      <sz val="11"/>
      <name val="Times New Roman"/>
      <family val="1"/>
    </font>
    <font>
      <sz val="11"/>
      <color theme="1"/>
      <name val="Times New Roman"/>
      <family val="1"/>
    </font>
    <font>
      <b/>
      <sz val="14"/>
      <color theme="1"/>
      <name val="Times New Roman"/>
      <family val="1"/>
    </font>
    <font>
      <b/>
      <sz val="16"/>
      <color theme="1"/>
      <name val="Times New Roman"/>
      <family val="1"/>
    </font>
    <font>
      <b/>
      <sz val="11"/>
      <color theme="1"/>
      <name val="Times New Roman"/>
      <family val="1"/>
    </font>
    <font>
      <sz val="14"/>
      <color theme="1"/>
      <name val="Times New Roman"/>
      <family val="1"/>
    </font>
    <font>
      <sz val="12"/>
      <color rgb="FF000000"/>
      <name val="Tahoma"/>
      <family val="2"/>
    </font>
    <font>
      <b/>
      <sz val="12"/>
      <color rgb="FF000000"/>
      <name val="Tahoma"/>
      <family val="2"/>
    </font>
    <font>
      <b/>
      <sz val="11.5"/>
      <name val="Times New Roman"/>
      <family val="1"/>
    </font>
    <font>
      <sz val="11.5"/>
      <name val="Times New Roman"/>
      <family val="1"/>
    </font>
    <font>
      <b/>
      <sz val="11.5"/>
      <color rgb="FF000000"/>
      <name val="Times New Roman"/>
      <family val="1"/>
    </font>
    <font>
      <sz val="11.5"/>
      <color rgb="FF000000"/>
      <name val="Times New Roman"/>
      <family val="1"/>
    </font>
    <font>
      <sz val="9.5"/>
      <name val="Times New Roman"/>
      <family val="1"/>
    </font>
    <font>
      <b/>
      <sz val="10"/>
      <name val="Times New Roman"/>
      <family val="1"/>
    </font>
    <font>
      <b/>
      <sz val="14"/>
      <color indexed="8"/>
      <name val="Times New Roman"/>
      <family val="1"/>
    </font>
    <font>
      <b/>
      <sz val="9"/>
      <color rgb="FF000000"/>
      <name val="Tahoma"/>
      <family val="2"/>
    </font>
    <font>
      <b/>
      <sz val="12"/>
      <color indexed="8"/>
      <name val="Times New Roman"/>
      <family val="1"/>
    </font>
    <font>
      <b/>
      <sz val="13"/>
      <color theme="1"/>
      <name val="Calibri"/>
      <family val="2"/>
      <scheme val="minor"/>
    </font>
    <font>
      <b/>
      <sz val="12"/>
      <color rgb="FF000000"/>
      <name val="Arial"/>
      <family val="2"/>
    </font>
    <font>
      <vertAlign val="superscript"/>
      <sz val="10"/>
      <color rgb="FF000000"/>
      <name val="Arial"/>
      <family val="2"/>
    </font>
    <font>
      <sz val="14"/>
      <color theme="1"/>
      <name val="Arial"/>
      <family val="2"/>
    </font>
    <font>
      <sz val="10"/>
      <color rgb="FF000000"/>
      <name val="Tahoma"/>
      <family val="2"/>
    </font>
    <font>
      <b/>
      <u/>
      <sz val="16"/>
      <color rgb="FF000000"/>
      <name val="Times New Roman"/>
      <family val="1"/>
    </font>
    <font>
      <vertAlign val="subscript"/>
      <sz val="14"/>
      <color theme="1"/>
      <name val="Times New Roman"/>
      <family val="1"/>
    </font>
    <font>
      <b/>
      <sz val="11"/>
      <name val="Arial Narrow"/>
      <family val="2"/>
    </font>
    <font>
      <sz val="11"/>
      <name val="Calibri"/>
      <family val="2"/>
      <scheme val="minor"/>
    </font>
    <font>
      <b/>
      <sz val="10"/>
      <name val="Arial Narrow"/>
      <family val="2"/>
    </font>
    <font>
      <b/>
      <sz val="16"/>
      <name val="Calibri"/>
      <family val="2"/>
      <scheme val="minor"/>
    </font>
    <font>
      <b/>
      <sz val="11"/>
      <name val="Calibri"/>
      <family val="2"/>
      <scheme val="minor"/>
    </font>
    <font>
      <sz val="14"/>
      <name val="Arial"/>
      <family val="2"/>
    </font>
    <font>
      <sz val="14"/>
      <name val="Calibri"/>
      <family val="2"/>
      <scheme val="minor"/>
    </font>
    <font>
      <b/>
      <u/>
      <sz val="12"/>
      <color rgb="FF000000"/>
      <name val="Times New Roman"/>
      <family val="1"/>
    </font>
    <font>
      <sz val="10"/>
      <color rgb="FF000000"/>
      <name val="Times New Roman"/>
      <charset val="204"/>
    </font>
    <font>
      <sz val="14"/>
      <name val="Times New Roman"/>
      <family val="1"/>
    </font>
    <font>
      <b/>
      <sz val="16"/>
      <name val="Times New Roman"/>
      <family val="1"/>
    </font>
    <font>
      <sz val="16"/>
      <name val="Times New Roman"/>
      <family val="1"/>
    </font>
    <font>
      <sz val="16"/>
      <color rgb="FF000000"/>
      <name val="Times New Roman"/>
      <family val="1"/>
    </font>
  </fonts>
  <fills count="10">
    <fill>
      <patternFill patternType="none"/>
    </fill>
    <fill>
      <patternFill patternType="gray125"/>
    </fill>
    <fill>
      <patternFill patternType="solid">
        <fgColor rgb="FF00FFFF"/>
      </patternFill>
    </fill>
    <fill>
      <patternFill patternType="solid">
        <fgColor rgb="FFFFFF00"/>
        <bgColor indexed="64"/>
      </patternFill>
    </fill>
    <fill>
      <patternFill patternType="solid">
        <fgColor rgb="FFFFF2CC"/>
        <bgColor indexed="64"/>
      </patternFill>
    </fill>
    <fill>
      <patternFill patternType="solid">
        <fgColor rgb="FFDEEAF6"/>
        <bgColor indexed="64"/>
      </patternFill>
    </fill>
    <fill>
      <patternFill patternType="solid">
        <fgColor rgb="FFC4C4C4"/>
      </patternFill>
    </fill>
    <fill>
      <patternFill patternType="solid">
        <fgColor theme="0"/>
        <bgColor indexed="64"/>
      </patternFill>
    </fill>
    <fill>
      <patternFill patternType="solid">
        <fgColor theme="4" tint="0.39997558519241921"/>
        <bgColor indexed="64"/>
      </patternFill>
    </fill>
    <fill>
      <patternFill patternType="solid">
        <fgColor theme="9" tint="0.39997558519241921"/>
        <bgColor indexed="64"/>
      </patternFill>
    </fill>
  </fills>
  <borders count="9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medium">
        <color indexed="64"/>
      </left>
      <right/>
      <top style="thin">
        <color rgb="FF000000"/>
      </top>
      <bottom style="thin">
        <color rgb="FF000000"/>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rgb="FF000000"/>
      </right>
      <top style="thin">
        <color rgb="FF000000"/>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rgb="FF000000"/>
      </left>
      <right/>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rgb="FF000000"/>
      </top>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top/>
      <bottom style="thin">
        <color rgb="FF000000"/>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style="medium">
        <color indexed="64"/>
      </right>
      <top/>
      <bottom style="thin">
        <color rgb="FF000000"/>
      </bottom>
      <diagonal/>
    </border>
    <border>
      <left style="medium">
        <color indexed="64"/>
      </left>
      <right style="thin">
        <color rgb="FF000000"/>
      </right>
      <top/>
      <bottom/>
      <diagonal/>
    </border>
    <border>
      <left style="thin">
        <color rgb="FF000000"/>
      </left>
      <right style="medium">
        <color indexed="64"/>
      </right>
      <top/>
      <bottom style="thin">
        <color rgb="FF000000"/>
      </bottom>
      <diagonal/>
    </border>
  </borders>
  <cellStyleXfs count="137">
    <xf numFmtId="0" fontId="0" fillId="0" borderId="0"/>
    <xf numFmtId="0" fontId="62" fillId="0" borderId="0"/>
    <xf numFmtId="0" fontId="64" fillId="0" borderId="0"/>
    <xf numFmtId="9" fontId="64" fillId="0" borderId="0" applyFont="0" applyFill="0" applyBorder="0" applyAlignment="0" applyProtection="0"/>
    <xf numFmtId="165" fontId="64" fillId="0" borderId="0" applyFont="0" applyFill="0" applyBorder="0" applyAlignment="0" applyProtection="0"/>
    <xf numFmtId="164" fontId="64" fillId="0" borderId="0" applyFont="0" applyFill="0" applyBorder="0" applyAlignment="0" applyProtection="0"/>
    <xf numFmtId="165" fontId="14" fillId="0" borderId="0" applyFont="0" applyFill="0" applyBorder="0" applyAlignment="0" applyProtection="0"/>
    <xf numFmtId="0" fontId="6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65" fontId="64" fillId="0" borderId="0" applyFont="0" applyFill="0" applyBorder="0" applyAlignment="0" applyProtection="0"/>
    <xf numFmtId="174" fontId="1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74" fontId="14" fillId="0" borderId="0" applyFont="0" applyFill="0" applyBorder="0" applyAlignment="0" applyProtection="0"/>
    <xf numFmtId="166" fontId="14" fillId="0" borderId="0" applyFont="0" applyFill="0" applyBorder="0" applyAlignment="0" applyProtection="0"/>
    <xf numFmtId="165" fontId="64" fillId="0" borderId="0" applyFont="0" applyFill="0" applyBorder="0" applyAlignment="0" applyProtection="0"/>
    <xf numFmtId="165" fontId="64" fillId="0" borderId="0" applyFont="0" applyFill="0" applyBorder="0" applyAlignment="0" applyProtection="0"/>
    <xf numFmtId="174" fontId="69" fillId="0" borderId="0" applyFont="0" applyFill="0" applyBorder="0" applyAlignment="0" applyProtection="0"/>
    <xf numFmtId="166" fontId="69" fillId="0" borderId="0" applyFont="0" applyFill="0" applyBorder="0" applyAlignment="0" applyProtection="0"/>
    <xf numFmtId="165" fontId="6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74" fontId="14" fillId="0" borderId="0" applyFont="0" applyFill="0" applyBorder="0" applyAlignment="0" applyProtection="0"/>
    <xf numFmtId="174" fontId="6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165"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64" fillId="0" borderId="0"/>
    <xf numFmtId="0" fontId="64" fillId="0" borderId="0"/>
    <xf numFmtId="0" fontId="64" fillId="0" borderId="0"/>
    <xf numFmtId="0" fontId="14" fillId="0" borderId="0"/>
    <xf numFmtId="0" fontId="64" fillId="0" borderId="0"/>
    <xf numFmtId="0" fontId="64" fillId="0" borderId="0"/>
    <xf numFmtId="0" fontId="64" fillId="0" borderId="0"/>
    <xf numFmtId="0" fontId="14" fillId="0" borderId="0"/>
    <xf numFmtId="0" fontId="14" fillId="0" borderId="0"/>
    <xf numFmtId="0" fontId="64" fillId="0" borderId="0"/>
    <xf numFmtId="0" fontId="64" fillId="0" borderId="0"/>
    <xf numFmtId="0" fontId="69" fillId="0" borderId="0"/>
    <xf numFmtId="0" fontId="14" fillId="0" borderId="0"/>
    <xf numFmtId="0" fontId="14" fillId="0" borderId="0"/>
    <xf numFmtId="0" fontId="1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64" fillId="0" borderId="0"/>
    <xf numFmtId="0" fontId="14" fillId="0" borderId="0"/>
    <xf numFmtId="0" fontId="64" fillId="0" borderId="0"/>
    <xf numFmtId="0" fontId="64" fillId="0" borderId="0"/>
    <xf numFmtId="0" fontId="6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6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0" fontId="13" fillId="0" borderId="0"/>
    <xf numFmtId="165" fontId="106" fillId="0" borderId="0" applyFont="0" applyFill="0" applyBorder="0" applyAlignment="0" applyProtection="0"/>
    <xf numFmtId="0" fontId="12" fillId="0" borderId="0"/>
    <xf numFmtId="9" fontId="106" fillId="0" borderId="0" applyFont="0" applyFill="0" applyBorder="0" applyAlignment="0" applyProtection="0"/>
    <xf numFmtId="0" fontId="7" fillId="0" borderId="0"/>
    <xf numFmtId="0" fontId="6" fillId="0" borderId="0"/>
    <xf numFmtId="0" fontId="139" fillId="0" borderId="0"/>
    <xf numFmtId="0" fontId="4" fillId="0" borderId="0"/>
    <xf numFmtId="43" fontId="4" fillId="0" borderId="0" applyFont="0" applyFill="0" applyBorder="0" applyAlignment="0" applyProtection="0"/>
    <xf numFmtId="0" fontId="80" fillId="0" borderId="0"/>
    <xf numFmtId="0" fontId="62" fillId="0" borderId="0"/>
    <xf numFmtId="43" fontId="3" fillId="0" borderId="0" applyFont="0" applyFill="0" applyBorder="0" applyAlignment="0" applyProtection="0"/>
    <xf numFmtId="0" fontId="179" fillId="0" borderId="0"/>
    <xf numFmtId="0" fontId="2" fillId="0" borderId="0"/>
    <xf numFmtId="0" fontId="1" fillId="0" borderId="0"/>
    <xf numFmtId="43" fontId="1" fillId="0" borderId="0" applyFont="0" applyFill="0" applyBorder="0" applyAlignment="0" applyProtection="0"/>
  </cellStyleXfs>
  <cellXfs count="1952">
    <xf numFmtId="0" fontId="0" fillId="0" borderId="0" xfId="0" applyAlignment="1">
      <alignment horizontal="left" vertical="top"/>
    </xf>
    <xf numFmtId="0" fontId="15" fillId="0" borderId="1" xfId="0" applyFont="1" applyBorder="1" applyAlignment="1">
      <alignment horizontal="left" vertical="top" wrapText="1"/>
    </xf>
    <xf numFmtId="0" fontId="0" fillId="0" borderId="1" xfId="0" applyBorder="1" applyAlignment="1">
      <alignment horizontal="left" wrapText="1"/>
    </xf>
    <xf numFmtId="0" fontId="16" fillId="0" borderId="1" xfId="0" applyFont="1" applyBorder="1" applyAlignment="1">
      <alignment horizontal="left" vertical="top" wrapText="1"/>
    </xf>
    <xf numFmtId="0" fontId="0" fillId="0" borderId="1" xfId="0" applyBorder="1" applyAlignment="1">
      <alignment horizontal="left" vertical="center" wrapText="1"/>
    </xf>
    <xf numFmtId="1" fontId="17" fillId="0" borderId="1" xfId="0" applyNumberFormat="1" applyFont="1" applyBorder="1" applyAlignment="1">
      <alignment horizontal="center" vertical="top" shrinkToFit="1"/>
    </xf>
    <xf numFmtId="0" fontId="0" fillId="0" borderId="1" xfId="0" applyBorder="1" applyAlignment="1">
      <alignment horizontal="left" vertical="top" wrapText="1"/>
    </xf>
    <xf numFmtId="0" fontId="15" fillId="0" borderId="0" xfId="0" applyFont="1" applyAlignment="1">
      <alignment horizontal="left" vertical="top"/>
    </xf>
    <xf numFmtId="0" fontId="18" fillId="0" borderId="0" xfId="0" applyFont="1" applyAlignment="1">
      <alignment horizontal="left" vertical="top"/>
    </xf>
    <xf numFmtId="0" fontId="25" fillId="0" borderId="1" xfId="0" applyFont="1" applyBorder="1" applyAlignment="1">
      <alignment horizontal="left" vertical="top" wrapText="1"/>
    </xf>
    <xf numFmtId="0" fontId="26" fillId="0" borderId="1" xfId="0" applyFont="1" applyBorder="1" applyAlignment="1">
      <alignment horizontal="left" vertical="top" wrapText="1"/>
    </xf>
    <xf numFmtId="0" fontId="21" fillId="0" borderId="1" xfId="0" applyFont="1" applyBorder="1" applyAlignment="1">
      <alignment horizontal="left" vertical="top" wrapText="1"/>
    </xf>
    <xf numFmtId="0" fontId="21" fillId="0" borderId="1" xfId="0" applyFont="1" applyBorder="1" applyAlignment="1">
      <alignment horizontal="center" vertical="top" wrapText="1"/>
    </xf>
    <xf numFmtId="0" fontId="0" fillId="0" borderId="1" xfId="0" applyBorder="1" applyAlignment="1">
      <alignment horizontal="center" vertical="top" wrapText="1"/>
    </xf>
    <xf numFmtId="167" fontId="27" fillId="0" borderId="1" xfId="0" applyNumberFormat="1" applyFont="1" applyBorder="1" applyAlignment="1">
      <alignment horizontal="center" vertical="top" shrinkToFit="1"/>
    </xf>
    <xf numFmtId="166" fontId="27" fillId="0" borderId="1" xfId="0" applyNumberFormat="1" applyFont="1" applyBorder="1" applyAlignment="1">
      <alignment horizontal="center" vertical="top" shrinkToFit="1"/>
    </xf>
    <xf numFmtId="166" fontId="28" fillId="0" borderId="1" xfId="0" applyNumberFormat="1" applyFont="1" applyBorder="1" applyAlignment="1">
      <alignment horizontal="center" vertical="top" shrinkToFit="1"/>
    </xf>
    <xf numFmtId="0" fontId="29" fillId="0" borderId="1" xfId="0" applyFont="1" applyBorder="1" applyAlignment="1">
      <alignment horizontal="center" vertical="top" wrapText="1"/>
    </xf>
    <xf numFmtId="168" fontId="28" fillId="0" borderId="1" xfId="0" applyNumberFormat="1" applyFont="1" applyBorder="1" applyAlignment="1">
      <alignment horizontal="center" vertical="top" shrinkToFit="1"/>
    </xf>
    <xf numFmtId="2" fontId="27" fillId="0" borderId="1" xfId="0" applyNumberFormat="1" applyFont="1" applyBorder="1" applyAlignment="1">
      <alignment horizontal="center" vertical="top" shrinkToFit="1"/>
    </xf>
    <xf numFmtId="2" fontId="28" fillId="0" borderId="1" xfId="0" applyNumberFormat="1" applyFont="1" applyBorder="1" applyAlignment="1">
      <alignment horizontal="center" vertical="top" shrinkToFit="1"/>
    </xf>
    <xf numFmtId="0" fontId="30" fillId="0" borderId="0" xfId="0" applyFont="1" applyAlignment="1">
      <alignment horizontal="left" vertical="top"/>
    </xf>
    <xf numFmtId="0" fontId="31" fillId="0" borderId="1" xfId="0" applyFont="1" applyBorder="1" applyAlignment="1">
      <alignment horizontal="left" vertical="top" wrapText="1"/>
    </xf>
    <xf numFmtId="0" fontId="31" fillId="0" borderId="1" xfId="0" applyFont="1" applyBorder="1" applyAlignment="1">
      <alignment horizontal="center" vertical="top" wrapText="1"/>
    </xf>
    <xf numFmtId="167" fontId="32" fillId="0" borderId="1" xfId="0" applyNumberFormat="1" applyFont="1" applyBorder="1" applyAlignment="1">
      <alignment horizontal="right" vertical="top" indent="1" shrinkToFit="1"/>
    </xf>
    <xf numFmtId="167" fontId="32" fillId="0" borderId="1" xfId="0" applyNumberFormat="1" applyFont="1" applyBorder="1" applyAlignment="1">
      <alignment horizontal="center" vertical="top" shrinkToFit="1"/>
    </xf>
    <xf numFmtId="166" fontId="32" fillId="0" borderId="1" xfId="0" applyNumberFormat="1" applyFont="1" applyBorder="1" applyAlignment="1">
      <alignment horizontal="right" vertical="top" indent="1" shrinkToFit="1"/>
    </xf>
    <xf numFmtId="166" fontId="33" fillId="0" borderId="1" xfId="0" applyNumberFormat="1" applyFont="1" applyBorder="1" applyAlignment="1">
      <alignment horizontal="right" vertical="top" indent="1" shrinkToFit="1"/>
    </xf>
    <xf numFmtId="0" fontId="34" fillId="0" borderId="1" xfId="0" applyFont="1" applyBorder="1" applyAlignment="1">
      <alignment horizontal="left" vertical="top" wrapText="1"/>
    </xf>
    <xf numFmtId="0" fontId="34" fillId="0" borderId="1" xfId="0" applyFont="1" applyBorder="1" applyAlignment="1">
      <alignment horizontal="right" vertical="top" wrapText="1"/>
    </xf>
    <xf numFmtId="168" fontId="33" fillId="0" borderId="1" xfId="0" applyNumberFormat="1" applyFont="1" applyBorder="1" applyAlignment="1">
      <alignment horizontal="right" vertical="top" shrinkToFit="1"/>
    </xf>
    <xf numFmtId="2" fontId="33" fillId="0" borderId="1" xfId="0" applyNumberFormat="1" applyFont="1" applyBorder="1" applyAlignment="1">
      <alignment horizontal="right" vertical="top" indent="1" shrinkToFit="1"/>
    </xf>
    <xf numFmtId="167" fontId="32" fillId="0" borderId="1" xfId="0" applyNumberFormat="1" applyFont="1" applyBorder="1" applyAlignment="1">
      <alignment horizontal="left" vertical="top" indent="1" shrinkToFit="1"/>
    </xf>
    <xf numFmtId="0" fontId="16" fillId="0" borderId="0" xfId="0" applyFont="1" applyAlignment="1">
      <alignment horizontal="left" vertical="top"/>
    </xf>
    <xf numFmtId="0" fontId="25" fillId="0" borderId="1" xfId="0" applyFont="1" applyBorder="1" applyAlignment="1">
      <alignment horizontal="right" vertical="top" wrapText="1" indent="1"/>
    </xf>
    <xf numFmtId="167" fontId="35" fillId="0" borderId="1" xfId="0" applyNumberFormat="1" applyFont="1" applyBorder="1" applyAlignment="1">
      <alignment horizontal="center" vertical="top" shrinkToFit="1"/>
    </xf>
    <xf numFmtId="167" fontId="35" fillId="0" borderId="1" xfId="0" applyNumberFormat="1" applyFont="1" applyBorder="1" applyAlignment="1">
      <alignment horizontal="right" vertical="top" indent="1" shrinkToFit="1"/>
    </xf>
    <xf numFmtId="0" fontId="36" fillId="0" borderId="0" xfId="0" applyFont="1" applyAlignment="1">
      <alignment horizontal="left" vertical="top"/>
    </xf>
    <xf numFmtId="1" fontId="39" fillId="0" borderId="1" xfId="0" applyNumberFormat="1" applyFont="1" applyBorder="1" applyAlignment="1">
      <alignment horizontal="center" vertical="top" shrinkToFit="1"/>
    </xf>
    <xf numFmtId="0" fontId="42" fillId="0" borderId="0" xfId="0" applyFont="1" applyAlignment="1">
      <alignment horizontal="left" vertical="top" indent="19"/>
    </xf>
    <xf numFmtId="0" fontId="63" fillId="0" borderId="0" xfId="1" applyFont="1"/>
    <xf numFmtId="49" fontId="65" fillId="0" borderId="0" xfId="2" applyNumberFormat="1" applyFont="1" applyAlignment="1">
      <alignment horizontal="center" vertical="top" wrapText="1"/>
    </xf>
    <xf numFmtId="0" fontId="63" fillId="0" borderId="0" xfId="2" applyFont="1"/>
    <xf numFmtId="2" fontId="63" fillId="0" borderId="0" xfId="1" applyNumberFormat="1" applyFont="1"/>
    <xf numFmtId="165" fontId="63" fillId="0" borderId="0" xfId="4" applyFont="1"/>
    <xf numFmtId="165" fontId="63" fillId="0" borderId="0" xfId="1" applyNumberFormat="1" applyFont="1"/>
    <xf numFmtId="170" fontId="63" fillId="0" borderId="0" xfId="1" applyNumberFormat="1" applyFont="1"/>
    <xf numFmtId="2" fontId="67" fillId="0" borderId="0" xfId="1" applyNumberFormat="1" applyFont="1"/>
    <xf numFmtId="2" fontId="68" fillId="0" borderId="0" xfId="1" applyNumberFormat="1" applyFont="1"/>
    <xf numFmtId="0" fontId="68" fillId="0" borderId="0" xfId="1" applyFont="1"/>
    <xf numFmtId="171" fontId="63" fillId="0" borderId="0" xfId="1" applyNumberFormat="1" applyFont="1"/>
    <xf numFmtId="172" fontId="63" fillId="0" borderId="0" xfId="1" applyNumberFormat="1" applyFont="1"/>
    <xf numFmtId="173" fontId="63" fillId="0" borderId="0" xfId="1" applyNumberFormat="1" applyFont="1"/>
    <xf numFmtId="0" fontId="62" fillId="0" borderId="0" xfId="1" applyAlignment="1">
      <alignment vertical="center"/>
    </xf>
    <xf numFmtId="0" fontId="70" fillId="0" borderId="0" xfId="1" applyFont="1" applyAlignment="1">
      <alignment vertical="center"/>
    </xf>
    <xf numFmtId="0" fontId="71" fillId="0" borderId="0" xfId="1" applyFont="1" applyAlignment="1">
      <alignment horizontal="left" vertical="center"/>
    </xf>
    <xf numFmtId="0" fontId="51" fillId="0" borderId="0" xfId="1" applyFont="1" applyAlignment="1">
      <alignment horizontal="left" vertical="center"/>
    </xf>
    <xf numFmtId="2" fontId="51" fillId="0" borderId="0" xfId="1" applyNumberFormat="1" applyFont="1" applyAlignment="1">
      <alignment horizontal="left" vertical="center"/>
    </xf>
    <xf numFmtId="0" fontId="51" fillId="0" borderId="27" xfId="1" applyFont="1" applyBorder="1" applyAlignment="1">
      <alignment horizontal="right" vertical="center" wrapText="1" indent="1"/>
    </xf>
    <xf numFmtId="0" fontId="62" fillId="0" borderId="0" xfId="1" applyAlignment="1">
      <alignment vertical="center" wrapText="1"/>
    </xf>
    <xf numFmtId="0" fontId="62" fillId="0" borderId="18" xfId="1" applyBorder="1" applyAlignment="1">
      <alignment horizontal="left" vertical="top"/>
    </xf>
    <xf numFmtId="0" fontId="62" fillId="0" borderId="20" xfId="1" applyBorder="1" applyAlignment="1">
      <alignment horizontal="left" vertical="top"/>
    </xf>
    <xf numFmtId="0" fontId="62" fillId="0" borderId="21" xfId="1" applyBorder="1" applyAlignment="1">
      <alignment horizontal="left" vertical="top"/>
    </xf>
    <xf numFmtId="0" fontId="54" fillId="0" borderId="21" xfId="1" applyFont="1" applyBorder="1" applyAlignment="1">
      <alignment horizontal="center" vertical="center" wrapText="1"/>
    </xf>
    <xf numFmtId="0" fontId="54" fillId="0" borderId="21" xfId="1" applyFont="1" applyBorder="1" applyAlignment="1">
      <alignment horizontal="center" vertical="center"/>
    </xf>
    <xf numFmtId="0" fontId="54" fillId="0" borderId="22" xfId="1" applyFont="1" applyBorder="1" applyAlignment="1">
      <alignment horizontal="center" vertical="center"/>
    </xf>
    <xf numFmtId="1" fontId="54" fillId="0" borderId="26" xfId="1" applyNumberFormat="1" applyFont="1" applyBorder="1" applyAlignment="1">
      <alignment horizontal="left" vertical="center"/>
    </xf>
    <xf numFmtId="0" fontId="74" fillId="0" borderId="27" xfId="1" applyFont="1" applyBorder="1" applyAlignment="1">
      <alignment horizontal="justify" vertical="top"/>
    </xf>
    <xf numFmtId="0" fontId="54" fillId="0" borderId="27" xfId="1" applyFont="1" applyBorder="1" applyAlignment="1">
      <alignment horizontal="center" vertical="center" wrapText="1"/>
    </xf>
    <xf numFmtId="169" fontId="75" fillId="0" borderId="27" xfId="1" applyNumberFormat="1" applyFont="1" applyBorder="1" applyAlignment="1">
      <alignment horizontal="center" vertical="center"/>
    </xf>
    <xf numFmtId="169" fontId="75" fillId="0" borderId="27" xfId="1" applyNumberFormat="1" applyFont="1" applyBorder="1" applyAlignment="1">
      <alignment horizontal="center" vertical="center" wrapText="1"/>
    </xf>
    <xf numFmtId="169" fontId="75" fillId="0" borderId="32" xfId="1" applyNumberFormat="1" applyFont="1" applyBorder="1" applyAlignment="1">
      <alignment horizontal="center" vertical="center" wrapText="1"/>
    </xf>
    <xf numFmtId="0" fontId="62" fillId="0" borderId="18" xfId="1" applyBorder="1" applyAlignment="1">
      <alignment horizontal="center" vertical="center" wrapText="1"/>
    </xf>
    <xf numFmtId="1" fontId="54" fillId="0" borderId="17" xfId="1" applyNumberFormat="1" applyFont="1" applyBorder="1" applyAlignment="1">
      <alignment horizontal="left" vertical="center"/>
    </xf>
    <xf numFmtId="0" fontId="74" fillId="0" borderId="18" xfId="1" applyFont="1" applyBorder="1" applyAlignment="1">
      <alignment horizontal="left" vertical="top" wrapText="1"/>
    </xf>
    <xf numFmtId="0" fontId="54" fillId="0" borderId="18" xfId="1" applyFont="1" applyBorder="1" applyAlignment="1">
      <alignment horizontal="center" vertical="center" wrapText="1"/>
    </xf>
    <xf numFmtId="169" fontId="75" fillId="0" borderId="18" xfId="1" applyNumberFormat="1" applyFont="1" applyBorder="1" applyAlignment="1">
      <alignment horizontal="center" vertical="center"/>
    </xf>
    <xf numFmtId="169" fontId="75" fillId="0" borderId="18" xfId="1" applyNumberFormat="1" applyFont="1" applyBorder="1" applyAlignment="1">
      <alignment horizontal="center" vertical="center" wrapText="1"/>
    </xf>
    <xf numFmtId="169" fontId="75" fillId="0" borderId="19" xfId="1" applyNumberFormat="1" applyFont="1" applyBorder="1" applyAlignment="1">
      <alignment horizontal="center" vertical="center" wrapText="1"/>
    </xf>
    <xf numFmtId="2" fontId="62" fillId="0" borderId="18" xfId="1" applyNumberFormat="1" applyBorder="1" applyAlignment="1">
      <alignment horizontal="center" vertical="center" wrapText="1"/>
    </xf>
    <xf numFmtId="0" fontId="62" fillId="0" borderId="18" xfId="1" applyBorder="1" applyAlignment="1">
      <alignment vertical="center" wrapText="1"/>
    </xf>
    <xf numFmtId="1" fontId="75" fillId="0" borderId="18" xfId="1" applyNumberFormat="1" applyFont="1" applyBorder="1" applyAlignment="1">
      <alignment horizontal="center" vertical="center"/>
    </xf>
    <xf numFmtId="1" fontId="53" fillId="0" borderId="17" xfId="1" applyNumberFormat="1" applyFont="1" applyBorder="1" applyAlignment="1">
      <alignment horizontal="left" vertical="center"/>
    </xf>
    <xf numFmtId="0" fontId="60" fillId="0" borderId="18" xfId="1" applyFont="1" applyBorder="1" applyAlignment="1">
      <alignment horizontal="left" vertical="center" wrapText="1"/>
    </xf>
    <xf numFmtId="0" fontId="53" fillId="0" borderId="18" xfId="1" applyFont="1" applyBorder="1" applyAlignment="1">
      <alignment horizontal="center" vertical="center" wrapText="1"/>
    </xf>
    <xf numFmtId="1" fontId="73" fillId="0" borderId="18" xfId="1" applyNumberFormat="1" applyFont="1" applyBorder="1" applyAlignment="1">
      <alignment horizontal="center" vertical="center"/>
    </xf>
    <xf numFmtId="169" fontId="73" fillId="0" borderId="18" xfId="1" applyNumberFormat="1" applyFont="1" applyBorder="1" applyAlignment="1">
      <alignment horizontal="center" vertical="center" wrapText="1"/>
    </xf>
    <xf numFmtId="169" fontId="73" fillId="0" borderId="19" xfId="1" applyNumberFormat="1" applyFont="1" applyBorder="1" applyAlignment="1">
      <alignment horizontal="center" vertical="center" wrapText="1"/>
    </xf>
    <xf numFmtId="0" fontId="60" fillId="0" borderId="18" xfId="1" applyFont="1" applyBorder="1" applyAlignment="1">
      <alignment horizontal="left" vertical="top" wrapText="1"/>
    </xf>
    <xf numFmtId="2" fontId="75" fillId="0" borderId="18" xfId="1" applyNumberFormat="1" applyFont="1" applyBorder="1" applyAlignment="1">
      <alignment horizontal="center" vertical="center"/>
    </xf>
    <xf numFmtId="0" fontId="62" fillId="0" borderId="18" xfId="1" applyBorder="1" applyAlignment="1">
      <alignment horizontal="center" vertical="center"/>
    </xf>
    <xf numFmtId="2" fontId="73" fillId="0" borderId="18" xfId="1" applyNumberFormat="1" applyFont="1" applyBorder="1" applyAlignment="1">
      <alignment horizontal="center" vertical="center"/>
    </xf>
    <xf numFmtId="0" fontId="76" fillId="0" borderId="0" xfId="1" applyFont="1" applyAlignment="1">
      <alignment vertical="center"/>
    </xf>
    <xf numFmtId="0" fontId="75" fillId="0" borderId="18" xfId="1" applyFont="1" applyBorder="1" applyAlignment="1">
      <alignment horizontal="right" vertical="top"/>
    </xf>
    <xf numFmtId="0" fontId="74" fillId="0" borderId="18" xfId="1" applyFont="1" applyBorder="1" applyAlignment="1">
      <alignment horizontal="justify" vertical="top"/>
    </xf>
    <xf numFmtId="0" fontId="73" fillId="0" borderId="18" xfId="1" applyFont="1" applyBorder="1" applyAlignment="1">
      <alignment horizontal="center" vertical="center"/>
    </xf>
    <xf numFmtId="1" fontId="54" fillId="0" borderId="33" xfId="1" applyNumberFormat="1" applyFont="1" applyBorder="1" applyAlignment="1">
      <alignment horizontal="left" vertical="center"/>
    </xf>
    <xf numFmtId="0" fontId="74" fillId="0" borderId="34" xfId="1" applyFont="1" applyBorder="1" applyAlignment="1">
      <alignment horizontal="left" vertical="top" wrapText="1"/>
    </xf>
    <xf numFmtId="0" fontId="54" fillId="0" borderId="34" xfId="1" applyFont="1" applyBorder="1" applyAlignment="1">
      <alignment horizontal="center" vertical="center" wrapText="1"/>
    </xf>
    <xf numFmtId="1" fontId="75" fillId="0" borderId="34" xfId="1" applyNumberFormat="1" applyFont="1" applyBorder="1" applyAlignment="1">
      <alignment horizontal="center" vertical="center"/>
    </xf>
    <xf numFmtId="169" fontId="75" fillId="0" borderId="34" xfId="1" applyNumberFormat="1" applyFont="1" applyBorder="1" applyAlignment="1">
      <alignment horizontal="center" vertical="center" wrapText="1"/>
    </xf>
    <xf numFmtId="169" fontId="75" fillId="0" borderId="35" xfId="1" applyNumberFormat="1" applyFont="1" applyBorder="1" applyAlignment="1">
      <alignment horizontal="center" vertical="center" wrapText="1"/>
    </xf>
    <xf numFmtId="0" fontId="77" fillId="0" borderId="0" xfId="1" applyFont="1" applyAlignment="1">
      <alignment horizontal="left" vertical="center"/>
    </xf>
    <xf numFmtId="0" fontId="54" fillId="0" borderId="0" xfId="1" applyFont="1" applyAlignment="1">
      <alignment horizontal="left" vertical="center"/>
    </xf>
    <xf numFmtId="0" fontId="77" fillId="0" borderId="0" xfId="1" applyFont="1" applyAlignment="1">
      <alignment horizontal="left" vertical="center" indent="1"/>
    </xf>
    <xf numFmtId="0" fontId="75" fillId="0" borderId="0" xfId="1" applyFont="1" applyAlignment="1">
      <alignment vertical="center"/>
    </xf>
    <xf numFmtId="0" fontId="54" fillId="0" borderId="0" xfId="1" applyFont="1" applyAlignment="1">
      <alignment horizontal="left" vertical="center" indent="1"/>
    </xf>
    <xf numFmtId="0" fontId="70" fillId="0" borderId="0" xfId="1" applyFont="1" applyAlignment="1">
      <alignment horizontal="center" vertical="center"/>
    </xf>
    <xf numFmtId="0" fontId="63" fillId="0" borderId="0" xfId="63" applyFont="1" applyAlignment="1">
      <alignment vertical="center"/>
    </xf>
    <xf numFmtId="0" fontId="65" fillId="0" borderId="0" xfId="63" applyFont="1" applyAlignment="1">
      <alignment vertical="center"/>
    </xf>
    <xf numFmtId="0" fontId="66" fillId="0" borderId="0" xfId="63" applyFont="1" applyAlignment="1">
      <alignment horizontal="left" vertical="center"/>
    </xf>
    <xf numFmtId="0" fontId="65" fillId="0" borderId="0" xfId="63" applyFont="1" applyAlignment="1">
      <alignment horizontal="left" vertical="center"/>
    </xf>
    <xf numFmtId="2" fontId="65" fillId="0" borderId="0" xfId="63" applyNumberFormat="1" applyFont="1" applyAlignment="1">
      <alignment horizontal="left" vertical="center"/>
    </xf>
    <xf numFmtId="0" fontId="65" fillId="0" borderId="27" xfId="63" applyFont="1" applyBorder="1" applyAlignment="1">
      <alignment horizontal="right" vertical="center" wrapText="1" indent="1"/>
    </xf>
    <xf numFmtId="0" fontId="63" fillId="0" borderId="0" xfId="63" applyFont="1" applyAlignment="1">
      <alignment vertical="center" wrapText="1"/>
    </xf>
    <xf numFmtId="0" fontId="63" fillId="0" borderId="18" xfId="63" applyFont="1" applyBorder="1" applyAlignment="1">
      <alignment horizontal="left" vertical="top"/>
    </xf>
    <xf numFmtId="0" fontId="63" fillId="0" borderId="17" xfId="63" applyFont="1" applyBorder="1" applyAlignment="1">
      <alignment horizontal="left" vertical="top"/>
    </xf>
    <xf numFmtId="0" fontId="63" fillId="0" borderId="18" xfId="63" applyFont="1" applyBorder="1" applyAlignment="1">
      <alignment horizontal="center" vertical="center" wrapText="1"/>
    </xf>
    <xf numFmtId="0" fontId="63" fillId="0" borderId="18" xfId="63" applyFont="1" applyBorder="1" applyAlignment="1">
      <alignment horizontal="center" vertical="center"/>
    </xf>
    <xf numFmtId="0" fontId="63" fillId="0" borderId="19" xfId="63" applyFont="1" applyBorder="1" applyAlignment="1">
      <alignment horizontal="center" vertical="center"/>
    </xf>
    <xf numFmtId="1" fontId="63" fillId="0" borderId="17" xfId="63" applyNumberFormat="1" applyFont="1" applyBorder="1" applyAlignment="1">
      <alignment horizontal="left" vertical="center"/>
    </xf>
    <xf numFmtId="0" fontId="63" fillId="0" borderId="18" xfId="63" applyFont="1" applyBorder="1" applyAlignment="1">
      <alignment horizontal="justify" vertical="top"/>
    </xf>
    <xf numFmtId="0" fontId="63" fillId="0" borderId="18" xfId="63" applyFont="1" applyBorder="1" applyAlignment="1">
      <alignment horizontal="left" vertical="center" wrapText="1"/>
    </xf>
    <xf numFmtId="176" fontId="63" fillId="0" borderId="31" xfId="63" applyNumberFormat="1" applyFont="1" applyBorder="1" applyAlignment="1">
      <alignment vertical="center"/>
    </xf>
    <xf numFmtId="176" fontId="63" fillId="0" borderId="18" xfId="63" applyNumberFormat="1" applyFont="1" applyBorder="1" applyAlignment="1">
      <alignment vertical="center"/>
    </xf>
    <xf numFmtId="0" fontId="63" fillId="0" borderId="18" xfId="63" applyFont="1" applyBorder="1" applyAlignment="1">
      <alignment horizontal="left" vertical="top" wrapText="1"/>
    </xf>
    <xf numFmtId="1" fontId="65" fillId="0" borderId="17" xfId="63" applyNumberFormat="1" applyFont="1" applyBorder="1" applyAlignment="1">
      <alignment horizontal="left" vertical="center"/>
    </xf>
    <xf numFmtId="0" fontId="65" fillId="0" borderId="18" xfId="63" applyFont="1" applyBorder="1" applyAlignment="1">
      <alignment horizontal="left" vertical="top" wrapText="1"/>
    </xf>
    <xf numFmtId="0" fontId="65" fillId="0" borderId="18" xfId="63" applyFont="1" applyBorder="1" applyAlignment="1">
      <alignment horizontal="left" vertical="center" wrapText="1"/>
    </xf>
    <xf numFmtId="0" fontId="65" fillId="3" borderId="0" xfId="1" applyFont="1" applyFill="1" applyAlignment="1">
      <alignment vertical="center"/>
    </xf>
    <xf numFmtId="1" fontId="73" fillId="0" borderId="18" xfId="1" applyNumberFormat="1" applyFont="1" applyBorder="1" applyAlignment="1">
      <alignment horizontal="center" vertical="justify" wrapText="1"/>
    </xf>
    <xf numFmtId="0" fontId="65" fillId="3" borderId="0" xfId="63" applyFont="1" applyFill="1" applyAlignment="1">
      <alignment vertical="center"/>
    </xf>
    <xf numFmtId="1" fontId="63" fillId="0" borderId="33" xfId="63" applyNumberFormat="1" applyFont="1" applyBorder="1" applyAlignment="1">
      <alignment horizontal="left" vertical="center"/>
    </xf>
    <xf numFmtId="0" fontId="63" fillId="0" borderId="34" xfId="63" applyFont="1" applyBorder="1" applyAlignment="1">
      <alignment horizontal="left" vertical="top" wrapText="1"/>
    </xf>
    <xf numFmtId="0" fontId="63" fillId="0" borderId="34" xfId="63" applyFont="1" applyBorder="1" applyAlignment="1">
      <alignment horizontal="center" vertical="center" wrapText="1"/>
    </xf>
    <xf numFmtId="0" fontId="63" fillId="0" borderId="0" xfId="1" applyFont="1" applyAlignment="1">
      <alignment vertical="center"/>
    </xf>
    <xf numFmtId="0" fontId="63" fillId="0" borderId="0" xfId="63" applyFont="1" applyAlignment="1">
      <alignment horizontal="left" vertical="center" indent="1"/>
    </xf>
    <xf numFmtId="0" fontId="63" fillId="0" borderId="0" xfId="63" applyFont="1" applyAlignment="1">
      <alignment horizontal="left" vertical="center"/>
    </xf>
    <xf numFmtId="0" fontId="65" fillId="0" borderId="0" xfId="63" applyFont="1" applyAlignment="1">
      <alignment horizontal="center" vertical="center"/>
    </xf>
    <xf numFmtId="165" fontId="63" fillId="0" borderId="0" xfId="10" applyFont="1" applyAlignment="1">
      <alignment vertical="center"/>
    </xf>
    <xf numFmtId="0" fontId="65" fillId="0" borderId="0" xfId="1" applyFont="1" applyAlignment="1">
      <alignment horizontal="left" vertical="center"/>
    </xf>
    <xf numFmtId="0" fontId="65" fillId="0" borderId="12" xfId="1" applyFont="1" applyBorder="1" applyAlignment="1">
      <alignment horizontal="left" vertical="center"/>
    </xf>
    <xf numFmtId="0" fontId="65" fillId="0" borderId="13" xfId="1" applyFont="1" applyBorder="1" applyAlignment="1">
      <alignment horizontal="left" vertical="center"/>
    </xf>
    <xf numFmtId="0" fontId="65" fillId="0" borderId="14" xfId="1" applyFont="1" applyBorder="1" applyAlignment="1">
      <alignment horizontal="left" vertical="center"/>
    </xf>
    <xf numFmtId="165" fontId="65" fillId="0" borderId="0" xfId="10" applyFont="1" applyAlignment="1">
      <alignment horizontal="left" vertical="center"/>
    </xf>
    <xf numFmtId="0" fontId="65" fillId="0" borderId="0" xfId="1" applyFont="1" applyAlignment="1">
      <alignment horizontal="left" vertical="center" indent="8"/>
    </xf>
    <xf numFmtId="0" fontId="65" fillId="0" borderId="0" xfId="1" applyFont="1" applyAlignment="1">
      <alignment vertical="center"/>
    </xf>
    <xf numFmtId="165" fontId="65" fillId="0" borderId="0" xfId="10" applyFont="1" applyAlignment="1">
      <alignment horizontal="left" vertical="center" indent="8"/>
    </xf>
    <xf numFmtId="0" fontId="66" fillId="0" borderId="0" xfId="1" applyFont="1" applyAlignment="1">
      <alignment horizontal="left" vertical="center"/>
    </xf>
    <xf numFmtId="165" fontId="66" fillId="0" borderId="0" xfId="10" applyFont="1" applyAlignment="1">
      <alignment horizontal="left" vertical="center"/>
    </xf>
    <xf numFmtId="0" fontId="65" fillId="0" borderId="15" xfId="1" applyFont="1" applyBorder="1" applyAlignment="1">
      <alignment horizontal="left" vertical="center"/>
    </xf>
    <xf numFmtId="2" fontId="65" fillId="0" borderId="0" xfId="1" applyNumberFormat="1" applyFont="1" applyAlignment="1">
      <alignment horizontal="left" vertical="center"/>
    </xf>
    <xf numFmtId="0" fontId="65" fillId="0" borderId="16" xfId="1" applyFont="1" applyBorder="1" applyAlignment="1">
      <alignment horizontal="left" vertical="center"/>
    </xf>
    <xf numFmtId="0" fontId="63" fillId="0" borderId="0" xfId="1" applyFont="1" applyAlignment="1">
      <alignment horizontal="left" vertical="center"/>
    </xf>
    <xf numFmtId="0" fontId="63" fillId="0" borderId="15" xfId="1" applyFont="1" applyBorder="1" applyAlignment="1">
      <alignment horizontal="left" vertical="center"/>
    </xf>
    <xf numFmtId="0" fontId="63" fillId="0" borderId="16" xfId="1" applyFont="1" applyBorder="1" applyAlignment="1">
      <alignment horizontal="left" vertical="center"/>
    </xf>
    <xf numFmtId="165" fontId="63" fillId="0" borderId="0" xfId="10" applyFont="1" applyAlignment="1">
      <alignment horizontal="left" vertical="center"/>
    </xf>
    <xf numFmtId="0" fontId="63" fillId="0" borderId="23" xfId="1" applyFont="1" applyBorder="1" applyAlignment="1">
      <alignment vertical="center"/>
    </xf>
    <xf numFmtId="0" fontId="63" fillId="0" borderId="24" xfId="1" applyFont="1" applyBorder="1" applyAlignment="1">
      <alignment vertical="center"/>
    </xf>
    <xf numFmtId="0" fontId="63" fillId="0" borderId="0" xfId="1" applyFont="1" applyAlignment="1">
      <alignment vertical="center" wrapText="1"/>
    </xf>
    <xf numFmtId="0" fontId="65" fillId="0" borderId="18" xfId="62" applyFont="1" applyBorder="1" applyAlignment="1">
      <alignment horizontal="center" vertical="center" wrapText="1"/>
    </xf>
    <xf numFmtId="165" fontId="63" fillId="0" borderId="0" xfId="10" applyFont="1" applyAlignment="1">
      <alignment vertical="center" wrapText="1"/>
    </xf>
    <xf numFmtId="0" fontId="63" fillId="0" borderId="0" xfId="1" applyFont="1" applyAlignment="1">
      <alignment vertical="top" wrapText="1"/>
    </xf>
    <xf numFmtId="165" fontId="63" fillId="0" borderId="0" xfId="1" applyNumberFormat="1" applyFont="1" applyAlignment="1">
      <alignment vertical="top" wrapText="1"/>
    </xf>
    <xf numFmtId="0" fontId="63" fillId="0" borderId="15" xfId="1" applyFont="1" applyBorder="1" applyAlignment="1">
      <alignment vertical="center"/>
    </xf>
    <xf numFmtId="0" fontId="63" fillId="0" borderId="16" xfId="1" applyFont="1" applyBorder="1" applyAlignment="1">
      <alignment vertical="center"/>
    </xf>
    <xf numFmtId="2" fontId="63" fillId="0" borderId="0" xfId="1" applyNumberFormat="1" applyFont="1" applyAlignment="1">
      <alignment vertical="center"/>
    </xf>
    <xf numFmtId="0" fontId="65" fillId="0" borderId="0" xfId="62" applyFont="1"/>
    <xf numFmtId="0" fontId="80" fillId="0" borderId="0" xfId="0" applyFont="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7" xfId="0" applyBorder="1" applyAlignment="1">
      <alignment horizontal="left" wrapText="1"/>
    </xf>
    <xf numFmtId="0" fontId="0" fillId="0" borderId="19" xfId="0" applyBorder="1" applyAlignment="1">
      <alignment horizontal="left" wrapText="1"/>
    </xf>
    <xf numFmtId="0" fontId="0" fillId="0" borderId="16" xfId="0" applyBorder="1" applyAlignment="1">
      <alignment horizontal="left" wrapText="1"/>
    </xf>
    <xf numFmtId="0" fontId="0" fillId="0" borderId="23" xfId="0" applyBorder="1" applyAlignment="1">
      <alignment horizontal="left" vertical="top"/>
    </xf>
    <xf numFmtId="0" fontId="0" fillId="0" borderId="24" xfId="0" applyBorder="1" applyAlignment="1">
      <alignment horizontal="left" vertical="top"/>
    </xf>
    <xf numFmtId="0" fontId="0" fillId="0" borderId="25" xfId="0" applyBorder="1" applyAlignment="1">
      <alignment horizontal="left" vertical="top"/>
    </xf>
    <xf numFmtId="0" fontId="80" fillId="0" borderId="18" xfId="0" applyFont="1" applyBorder="1" applyAlignment="1">
      <alignment horizontal="left" vertical="top"/>
    </xf>
    <xf numFmtId="0" fontId="84" fillId="0" borderId="0" xfId="0" applyFont="1" applyAlignment="1">
      <alignment vertical="center"/>
    </xf>
    <xf numFmtId="0" fontId="85" fillId="0" borderId="0" xfId="0" applyFont="1" applyAlignment="1">
      <alignment horizontal="left" vertical="top"/>
    </xf>
    <xf numFmtId="0" fontId="84" fillId="0" borderId="0" xfId="0" applyFont="1" applyAlignment="1">
      <alignment horizontal="left" vertical="center"/>
    </xf>
    <xf numFmtId="0" fontId="85" fillId="0" borderId="15" xfId="0" applyFont="1" applyBorder="1" applyAlignment="1">
      <alignment horizontal="left" vertical="top"/>
    </xf>
    <xf numFmtId="0" fontId="80" fillId="0" borderId="16" xfId="0" applyFont="1" applyBorder="1" applyAlignment="1">
      <alignment horizontal="left" vertical="top"/>
    </xf>
    <xf numFmtId="0" fontId="87" fillId="0" borderId="0" xfId="0" applyFont="1" applyAlignment="1">
      <alignment horizontal="left" vertical="top"/>
    </xf>
    <xf numFmtId="0" fontId="85" fillId="0" borderId="18" xfId="0" applyFont="1" applyBorder="1" applyAlignment="1">
      <alignment horizontal="center" vertical="center" wrapText="1"/>
    </xf>
    <xf numFmtId="0" fontId="88" fillId="0" borderId="18" xfId="0" applyFont="1" applyBorder="1" applyAlignment="1">
      <alignment horizontal="center" vertical="center" wrapText="1"/>
    </xf>
    <xf numFmtId="0" fontId="74" fillId="0" borderId="15" xfId="0" applyFont="1" applyBorder="1" applyAlignment="1">
      <alignment horizontal="left" vertical="top"/>
    </xf>
    <xf numFmtId="0" fontId="24" fillId="0" borderId="44" xfId="0" applyFont="1" applyBorder="1" applyAlignment="1">
      <alignment horizontal="left" vertical="top" wrapText="1"/>
    </xf>
    <xf numFmtId="0" fontId="0" fillId="0" borderId="44" xfId="0" applyBorder="1" applyAlignment="1">
      <alignment horizontal="left" vertical="top" wrapText="1"/>
    </xf>
    <xf numFmtId="0" fontId="13" fillId="0" borderId="0" xfId="121" applyAlignment="1">
      <alignment wrapText="1"/>
    </xf>
    <xf numFmtId="0" fontId="13" fillId="0" borderId="24" xfId="121" applyBorder="1" applyAlignment="1">
      <alignment wrapText="1"/>
    </xf>
    <xf numFmtId="0" fontId="91" fillId="0" borderId="0" xfId="121" applyFont="1" applyAlignment="1">
      <alignment vertical="center" wrapText="1"/>
    </xf>
    <xf numFmtId="0" fontId="94" fillId="0" borderId="0" xfId="121" applyFont="1" applyAlignment="1">
      <alignment vertical="center" wrapText="1"/>
    </xf>
    <xf numFmtId="0" fontId="13" fillId="0" borderId="12" xfId="121" applyBorder="1" applyAlignment="1">
      <alignment wrapText="1"/>
    </xf>
    <xf numFmtId="0" fontId="13" fillId="0" borderId="13" xfId="121" applyBorder="1" applyAlignment="1">
      <alignment wrapText="1"/>
    </xf>
    <xf numFmtId="0" fontId="13" fillId="0" borderId="15" xfId="121" applyBorder="1" applyAlignment="1">
      <alignment wrapText="1"/>
    </xf>
    <xf numFmtId="0" fontId="94" fillId="0" borderId="17" xfId="121" applyFont="1" applyBorder="1" applyAlignment="1">
      <alignment vertical="center" wrapText="1"/>
    </xf>
    <xf numFmtId="0" fontId="13" fillId="0" borderId="16" xfId="121" applyBorder="1" applyAlignment="1">
      <alignment wrapText="1"/>
    </xf>
    <xf numFmtId="0" fontId="13" fillId="0" borderId="23" xfId="121" applyBorder="1" applyAlignment="1">
      <alignment wrapText="1"/>
    </xf>
    <xf numFmtId="0" fontId="99" fillId="0" borderId="0" xfId="121" applyFont="1" applyAlignment="1">
      <alignment horizontal="center" vertical="center" wrapText="1"/>
    </xf>
    <xf numFmtId="3" fontId="94" fillId="0" borderId="18" xfId="121" applyNumberFormat="1" applyFont="1" applyBorder="1" applyAlignment="1">
      <alignment horizontal="right" vertical="center" wrapText="1"/>
    </xf>
    <xf numFmtId="3" fontId="91" fillId="0" borderId="18" xfId="121" applyNumberFormat="1" applyFont="1" applyBorder="1" applyAlignment="1">
      <alignment horizontal="right" vertical="center" wrapText="1"/>
    </xf>
    <xf numFmtId="3" fontId="91" fillId="0" borderId="18" xfId="121" applyNumberFormat="1" applyFont="1" applyBorder="1" applyAlignment="1">
      <alignment horizontal="center" vertical="center" wrapText="1"/>
    </xf>
    <xf numFmtId="0" fontId="97" fillId="0" borderId="18" xfId="121" applyFont="1" applyBorder="1" applyAlignment="1">
      <alignment vertical="center" wrapText="1"/>
    </xf>
    <xf numFmtId="0" fontId="90" fillId="0" borderId="18" xfId="121" applyFont="1" applyBorder="1" applyAlignment="1">
      <alignment vertical="center" wrapText="1"/>
    </xf>
    <xf numFmtId="4" fontId="91" fillId="0" borderId="18" xfId="121" applyNumberFormat="1" applyFont="1" applyBorder="1" applyAlignment="1">
      <alignment horizontal="right" vertical="center" wrapText="1"/>
    </xf>
    <xf numFmtId="0" fontId="92" fillId="0" borderId="0" xfId="121" applyFont="1" applyAlignment="1">
      <alignment vertical="center" wrapText="1"/>
    </xf>
    <xf numFmtId="0" fontId="98" fillId="0" borderId="15" xfId="121" applyFont="1" applyBorder="1" applyAlignment="1">
      <alignment horizontal="center" vertical="center" wrapText="1"/>
    </xf>
    <xf numFmtId="0" fontId="99" fillId="0" borderId="16" xfId="121" applyFont="1" applyBorder="1" applyAlignment="1">
      <alignment horizontal="center" vertical="center" wrapText="1"/>
    </xf>
    <xf numFmtId="0" fontId="91" fillId="0" borderId="15" xfId="121" applyFont="1" applyBorder="1" applyAlignment="1">
      <alignment vertical="center" wrapText="1"/>
    </xf>
    <xf numFmtId="0" fontId="91" fillId="0" borderId="17" xfId="121" applyFont="1" applyBorder="1" applyAlignment="1">
      <alignment horizontal="center" vertical="center" wrapText="1"/>
    </xf>
    <xf numFmtId="3" fontId="91" fillId="0" borderId="19" xfId="121" applyNumberFormat="1" applyFont="1" applyBorder="1" applyAlignment="1">
      <alignment horizontal="center" vertical="center" wrapText="1"/>
    </xf>
    <xf numFmtId="0" fontId="91" fillId="0" borderId="15" xfId="121" applyFont="1" applyBorder="1" applyAlignment="1">
      <alignment horizontal="center" vertical="center" wrapText="1"/>
    </xf>
    <xf numFmtId="0" fontId="13" fillId="0" borderId="25" xfId="121" applyBorder="1" applyAlignment="1">
      <alignment wrapText="1"/>
    </xf>
    <xf numFmtId="0" fontId="94" fillId="0" borderId="0" xfId="121" applyFont="1" applyAlignment="1">
      <alignment horizontal="right" vertical="center"/>
    </xf>
    <xf numFmtId="0" fontId="94" fillId="0" borderId="16" xfId="121" applyFont="1" applyBorder="1" applyAlignment="1">
      <alignment horizontal="right" vertical="center"/>
    </xf>
    <xf numFmtId="0" fontId="86" fillId="0" borderId="14" xfId="0" applyFont="1" applyBorder="1" applyAlignment="1">
      <alignment horizontal="left" vertical="top"/>
    </xf>
    <xf numFmtId="0" fontId="91" fillId="0" borderId="19" xfId="121" applyFont="1" applyBorder="1" applyAlignment="1">
      <alignment horizontal="center" vertical="center" wrapText="1"/>
    </xf>
    <xf numFmtId="0" fontId="103" fillId="0" borderId="16" xfId="0" applyFont="1" applyBorder="1" applyAlignment="1">
      <alignment horizontal="left" vertical="top"/>
    </xf>
    <xf numFmtId="164" fontId="91" fillId="0" borderId="17" xfId="121" applyNumberFormat="1" applyFont="1" applyBorder="1" applyAlignment="1">
      <alignment horizontal="center" vertical="center" wrapText="1"/>
    </xf>
    <xf numFmtId="164" fontId="91" fillId="0" borderId="19" xfId="121" applyNumberFormat="1" applyFont="1" applyBorder="1" applyAlignment="1">
      <alignment horizontal="center" vertical="center" wrapText="1"/>
    </xf>
    <xf numFmtId="0" fontId="91" fillId="0" borderId="18" xfId="121" applyFont="1" applyBorder="1" applyAlignment="1">
      <alignment vertical="center"/>
    </xf>
    <xf numFmtId="0" fontId="91" fillId="0" borderId="19" xfId="121" applyFont="1" applyBorder="1" applyAlignment="1">
      <alignment vertical="center"/>
    </xf>
    <xf numFmtId="0" fontId="91" fillId="0" borderId="30" xfId="121" applyFont="1" applyBorder="1" applyAlignment="1">
      <alignment horizontal="left" vertical="center"/>
    </xf>
    <xf numFmtId="0" fontId="91" fillId="0" borderId="38" xfId="121" applyFont="1" applyBorder="1" applyAlignment="1">
      <alignment horizontal="left" vertical="center"/>
    </xf>
    <xf numFmtId="0" fontId="91" fillId="0" borderId="39" xfId="121" applyFont="1" applyBorder="1" applyAlignment="1">
      <alignment horizontal="left" vertical="center"/>
    </xf>
    <xf numFmtId="0" fontId="90" fillId="0" borderId="30" xfId="121" applyFont="1" applyBorder="1" applyAlignment="1">
      <alignment horizontal="left" vertical="center"/>
    </xf>
    <xf numFmtId="0" fontId="90" fillId="0" borderId="38" xfId="121" applyFont="1" applyBorder="1" applyAlignment="1">
      <alignment horizontal="left" vertical="center"/>
    </xf>
    <xf numFmtId="0" fontId="90" fillId="0" borderId="39" xfId="121" applyFont="1" applyBorder="1" applyAlignment="1">
      <alignment horizontal="left" vertical="center"/>
    </xf>
    <xf numFmtId="0" fontId="101" fillId="0" borderId="0" xfId="121" applyFont="1" applyAlignment="1">
      <alignment horizontal="center" vertical="center"/>
    </xf>
    <xf numFmtId="0" fontId="104" fillId="0" borderId="0" xfId="0" applyFont="1" applyAlignment="1">
      <alignment horizontal="center" vertical="center"/>
    </xf>
    <xf numFmtId="0" fontId="54" fillId="0" borderId="1" xfId="0" applyFont="1" applyBorder="1" applyAlignment="1">
      <alignment horizontal="left" vertical="top" wrapText="1"/>
    </xf>
    <xf numFmtId="0" fontId="102" fillId="0" borderId="0" xfId="121" applyFont="1" applyAlignment="1">
      <alignment horizontal="left" vertical="center"/>
    </xf>
    <xf numFmtId="0" fontId="13" fillId="0" borderId="50" xfId="121" applyBorder="1" applyAlignment="1">
      <alignment wrapText="1"/>
    </xf>
    <xf numFmtId="0" fontId="13" fillId="0" borderId="51" xfId="121" applyBorder="1" applyAlignment="1">
      <alignment wrapText="1"/>
    </xf>
    <xf numFmtId="0" fontId="86" fillId="0" borderId="52" xfId="0" applyFont="1" applyBorder="1" applyAlignment="1">
      <alignment horizontal="left" vertical="top"/>
    </xf>
    <xf numFmtId="0" fontId="13" fillId="0" borderId="53" xfId="121" applyBorder="1" applyAlignment="1">
      <alignment wrapText="1"/>
    </xf>
    <xf numFmtId="0" fontId="103" fillId="0" borderId="54" xfId="0" applyFont="1" applyBorder="1" applyAlignment="1">
      <alignment horizontal="left" vertical="top"/>
    </xf>
    <xf numFmtId="0" fontId="13" fillId="0" borderId="54" xfId="121" applyBorder="1" applyAlignment="1">
      <alignment wrapText="1"/>
    </xf>
    <xf numFmtId="0" fontId="98" fillId="0" borderId="53" xfId="121" applyFont="1" applyBorder="1" applyAlignment="1">
      <alignment horizontal="center" vertical="center" wrapText="1"/>
    </xf>
    <xf numFmtId="0" fontId="99" fillId="0" borderId="54" xfId="121" applyFont="1" applyBorder="1" applyAlignment="1">
      <alignment horizontal="center" vertical="center" wrapText="1"/>
    </xf>
    <xf numFmtId="0" fontId="102" fillId="0" borderId="54" xfId="121" applyFont="1" applyBorder="1" applyAlignment="1">
      <alignment horizontal="left" vertical="center"/>
    </xf>
    <xf numFmtId="0" fontId="0" fillId="0" borderId="53" xfId="0" applyBorder="1" applyAlignment="1">
      <alignment horizontal="left" vertical="top"/>
    </xf>
    <xf numFmtId="0" fontId="0" fillId="0" borderId="54" xfId="0" applyBorder="1" applyAlignment="1">
      <alignment horizontal="left" vertical="top"/>
    </xf>
    <xf numFmtId="0" fontId="104" fillId="0" borderId="53" xfId="0" applyFont="1" applyBorder="1" applyAlignment="1">
      <alignment horizontal="center" vertical="center"/>
    </xf>
    <xf numFmtId="0" fontId="25" fillId="0" borderId="55" xfId="0" applyFont="1" applyBorder="1" applyAlignment="1">
      <alignment horizontal="center" vertical="top" wrapText="1"/>
    </xf>
    <xf numFmtId="0" fontId="0" fillId="0" borderId="56" xfId="0" applyBorder="1" applyAlignment="1">
      <alignment horizontal="left" vertical="top" wrapText="1"/>
    </xf>
    <xf numFmtId="167" fontId="35" fillId="0" borderId="55" xfId="0" applyNumberFormat="1" applyFont="1" applyBorder="1" applyAlignment="1">
      <alignment horizontal="center" vertical="top" shrinkToFit="1"/>
    </xf>
    <xf numFmtId="167" fontId="35" fillId="0" borderId="56" xfId="0" applyNumberFormat="1" applyFont="1" applyBorder="1" applyAlignment="1">
      <alignment horizontal="center" vertical="top" shrinkToFit="1"/>
    </xf>
    <xf numFmtId="0" fontId="0" fillId="0" borderId="55" xfId="0" applyBorder="1" applyAlignment="1">
      <alignment horizontal="left" wrapText="1"/>
    </xf>
    <xf numFmtId="0" fontId="0" fillId="0" borderId="56" xfId="0" applyBorder="1" applyAlignment="1">
      <alignment horizontal="left" wrapText="1"/>
    </xf>
    <xf numFmtId="0" fontId="0" fillId="0" borderId="61" xfId="0" applyBorder="1" applyAlignment="1">
      <alignment horizontal="left" vertical="top"/>
    </xf>
    <xf numFmtId="0" fontId="0" fillId="0" borderId="47" xfId="0" applyBorder="1" applyAlignment="1">
      <alignment horizontal="left" vertical="top"/>
    </xf>
    <xf numFmtId="0" fontId="0" fillId="0" borderId="62" xfId="0" applyBorder="1" applyAlignment="1">
      <alignment horizontal="left" vertical="top"/>
    </xf>
    <xf numFmtId="0" fontId="0" fillId="0" borderId="2" xfId="0" applyBorder="1" applyAlignment="1">
      <alignment horizontal="left" wrapText="1"/>
    </xf>
    <xf numFmtId="0" fontId="0" fillId="0" borderId="2" xfId="0" applyBorder="1" applyAlignment="1">
      <alignment horizontal="left" vertical="top" wrapText="1"/>
    </xf>
    <xf numFmtId="0" fontId="36" fillId="0" borderId="2" xfId="0" applyFont="1" applyBorder="1" applyAlignment="1">
      <alignment horizontal="left" vertical="top" wrapText="1"/>
    </xf>
    <xf numFmtId="1" fontId="39" fillId="0" borderId="2" xfId="0" applyNumberFormat="1" applyFont="1" applyBorder="1" applyAlignment="1">
      <alignment horizontal="center" vertical="top" shrinkToFit="1"/>
    </xf>
    <xf numFmtId="2" fontId="94" fillId="0" borderId="18" xfId="0" applyNumberFormat="1" applyFont="1" applyBorder="1" applyAlignment="1">
      <alignment horizontal="center" vertical="center" wrapText="1"/>
    </xf>
    <xf numFmtId="0" fontId="0" fillId="0" borderId="18" xfId="0" applyBorder="1" applyAlignment="1">
      <alignment horizontal="left" vertical="top"/>
    </xf>
    <xf numFmtId="0" fontId="0" fillId="0" borderId="1" xfId="0" applyBorder="1" applyAlignment="1">
      <alignment horizontal="center" vertical="center" wrapText="1"/>
    </xf>
    <xf numFmtId="167" fontId="23" fillId="0" borderId="43" xfId="0" applyNumberFormat="1" applyFont="1" applyBorder="1" applyAlignment="1">
      <alignment horizontal="center" vertical="top" shrinkToFit="1"/>
    </xf>
    <xf numFmtId="0" fontId="88" fillId="0" borderId="0" xfId="0" applyFont="1" applyAlignment="1">
      <alignment horizontal="center" vertical="center"/>
    </xf>
    <xf numFmtId="1" fontId="39" fillId="0" borderId="2" xfId="0" applyNumberFormat="1" applyFont="1" applyBorder="1" applyAlignment="1">
      <alignment horizontal="left" vertical="top" wrapText="1" shrinkToFit="1"/>
    </xf>
    <xf numFmtId="0" fontId="103" fillId="0" borderId="1" xfId="0" applyFont="1" applyBorder="1" applyAlignment="1">
      <alignment horizontal="center" vertical="center" wrapText="1"/>
    </xf>
    <xf numFmtId="0" fontId="88" fillId="0" borderId="0" xfId="0" applyFont="1" applyAlignment="1">
      <alignment horizontal="left" vertical="top"/>
    </xf>
    <xf numFmtId="0" fontId="80" fillId="0" borderId="2" xfId="0" applyFont="1" applyBorder="1" applyAlignment="1">
      <alignment horizontal="left" wrapText="1"/>
    </xf>
    <xf numFmtId="0" fontId="0" fillId="0" borderId="50" xfId="0" applyBorder="1" applyAlignment="1">
      <alignment horizontal="left" vertical="top"/>
    </xf>
    <xf numFmtId="0" fontId="0" fillId="0" borderId="51" xfId="0" applyBorder="1" applyAlignment="1">
      <alignment horizontal="left" vertical="top"/>
    </xf>
    <xf numFmtId="0" fontId="36" fillId="0" borderId="51" xfId="0" applyFont="1" applyBorder="1" applyAlignment="1">
      <alignment horizontal="left" vertical="top" wrapText="1" indent="3"/>
    </xf>
    <xf numFmtId="0" fontId="36" fillId="0" borderId="52" xfId="0" applyFont="1" applyBorder="1" applyAlignment="1">
      <alignment horizontal="center" vertical="center"/>
    </xf>
    <xf numFmtId="0" fontId="37" fillId="0" borderId="54" xfId="0" applyFont="1" applyBorder="1" applyAlignment="1">
      <alignment horizontal="center" vertical="center"/>
    </xf>
    <xf numFmtId="0" fontId="59" fillId="0" borderId="53" xfId="0" applyFont="1" applyBorder="1" applyAlignment="1">
      <alignment horizontal="left" vertical="top"/>
    </xf>
    <xf numFmtId="0" fontId="38" fillId="0" borderId="53" xfId="0" applyFont="1" applyBorder="1" applyAlignment="1">
      <alignment horizontal="left" vertical="top"/>
    </xf>
    <xf numFmtId="0" fontId="0" fillId="0" borderId="55" xfId="0" applyBorder="1" applyAlignment="1">
      <alignment horizontal="left" vertical="center" wrapText="1"/>
    </xf>
    <xf numFmtId="0" fontId="36" fillId="0" borderId="56" xfId="0" applyFont="1" applyBorder="1" applyAlignment="1">
      <alignment horizontal="left" vertical="top" wrapText="1" indent="1"/>
    </xf>
    <xf numFmtId="0" fontId="0" fillId="0" borderId="56" xfId="0" applyBorder="1" applyAlignment="1">
      <alignment horizontal="center" vertical="top" wrapText="1"/>
    </xf>
    <xf numFmtId="1" fontId="40" fillId="0" borderId="55" xfId="0" applyNumberFormat="1" applyFont="1" applyBorder="1" applyAlignment="1">
      <alignment horizontal="right" vertical="top" shrinkToFit="1"/>
    </xf>
    <xf numFmtId="0" fontId="0" fillId="0" borderId="56" xfId="0" applyBorder="1" applyAlignment="1">
      <alignment horizontal="left" vertical="center" wrapText="1"/>
    </xf>
    <xf numFmtId="0" fontId="41" fillId="0" borderId="53" xfId="0" applyFont="1" applyBorder="1" applyAlignment="1">
      <alignment horizontal="left" vertical="top"/>
    </xf>
    <xf numFmtId="0" fontId="36" fillId="0" borderId="54" xfId="0" applyFont="1" applyBorder="1" applyAlignment="1">
      <alignment horizontal="left" vertical="top"/>
    </xf>
    <xf numFmtId="0" fontId="63" fillId="0" borderId="18" xfId="2" applyFont="1" applyBorder="1" applyAlignment="1">
      <alignment horizontal="center" vertical="center"/>
    </xf>
    <xf numFmtId="2" fontId="65" fillId="0" borderId="18" xfId="2" applyNumberFormat="1" applyFont="1" applyBorder="1" applyAlignment="1">
      <alignment horizontal="center" vertical="center"/>
    </xf>
    <xf numFmtId="0" fontId="63" fillId="0" borderId="18" xfId="1" applyFont="1" applyBorder="1" applyAlignment="1">
      <alignment horizontal="center" vertical="center"/>
    </xf>
    <xf numFmtId="0" fontId="0" fillId="0" borderId="0" xfId="0" applyAlignment="1">
      <alignment horizontal="center" vertical="top"/>
    </xf>
    <xf numFmtId="0" fontId="85" fillId="0" borderId="18" xfId="0" applyFont="1" applyBorder="1" applyAlignment="1">
      <alignment horizontal="center" vertical="center"/>
    </xf>
    <xf numFmtId="0" fontId="62" fillId="0" borderId="12" xfId="1" applyBorder="1" applyAlignment="1">
      <alignment vertical="center"/>
    </xf>
    <xf numFmtId="0" fontId="62" fillId="0" borderId="13" xfId="1" applyBorder="1" applyAlignment="1">
      <alignment vertical="center"/>
    </xf>
    <xf numFmtId="0" fontId="70" fillId="0" borderId="14" xfId="1" applyFont="1" applyBorder="1" applyAlignment="1">
      <alignment vertical="center"/>
    </xf>
    <xf numFmtId="0" fontId="62" fillId="0" borderId="15" xfId="1" applyBorder="1" applyAlignment="1">
      <alignment vertical="center"/>
    </xf>
    <xf numFmtId="0" fontId="70" fillId="0" borderId="16" xfId="1" applyFont="1" applyBorder="1" applyAlignment="1">
      <alignment vertical="center"/>
    </xf>
    <xf numFmtId="0" fontId="62" fillId="0" borderId="16" xfId="1" applyBorder="1" applyAlignment="1">
      <alignment vertical="center"/>
    </xf>
    <xf numFmtId="0" fontId="71" fillId="0" borderId="15" xfId="1" applyFont="1" applyBorder="1" applyAlignment="1">
      <alignment horizontal="left" vertical="center"/>
    </xf>
    <xf numFmtId="0" fontId="71" fillId="0" borderId="16" xfId="1" applyFont="1" applyBorder="1" applyAlignment="1">
      <alignment horizontal="left" vertical="center"/>
    </xf>
    <xf numFmtId="0" fontId="85" fillId="0" borderId="19" xfId="0" applyFont="1" applyBorder="1" applyAlignment="1">
      <alignment horizontal="center" vertical="center" wrapText="1"/>
    </xf>
    <xf numFmtId="0" fontId="85" fillId="0" borderId="19" xfId="0" applyFont="1" applyBorder="1" applyAlignment="1">
      <alignment horizontal="center" vertical="center"/>
    </xf>
    <xf numFmtId="0" fontId="0" fillId="0" borderId="0" xfId="0" applyAlignment="1">
      <alignment horizontal="center" vertical="center"/>
    </xf>
    <xf numFmtId="2" fontId="63" fillId="0" borderId="0" xfId="2" applyNumberFormat="1" applyFont="1" applyAlignment="1">
      <alignment horizontal="center" vertical="center"/>
    </xf>
    <xf numFmtId="0" fontId="103" fillId="0" borderId="0" xfId="0" applyFont="1" applyAlignment="1">
      <alignment horizontal="left" vertical="top"/>
    </xf>
    <xf numFmtId="0" fontId="80" fillId="0" borderId="12" xfId="0" applyFont="1" applyBorder="1" applyAlignment="1">
      <alignment horizontal="left" vertical="top"/>
    </xf>
    <xf numFmtId="0" fontId="80" fillId="0" borderId="15" xfId="0" applyFont="1" applyBorder="1" applyAlignment="1">
      <alignment horizontal="left" vertical="top"/>
    </xf>
    <xf numFmtId="0" fontId="80" fillId="0" borderId="23" xfId="0" applyFont="1" applyBorder="1" applyAlignment="1">
      <alignment horizontal="left" vertical="top"/>
    </xf>
    <xf numFmtId="0" fontId="65" fillId="0" borderId="0" xfId="2" applyFont="1" applyAlignment="1">
      <alignment vertical="top"/>
    </xf>
    <xf numFmtId="0" fontId="81" fillId="0" borderId="18" xfId="0" applyFont="1" applyBorder="1" applyAlignment="1">
      <alignment horizontal="center" vertical="center" wrapText="1"/>
    </xf>
    <xf numFmtId="0" fontId="87" fillId="0" borderId="18" xfId="0" applyFont="1" applyBorder="1" applyAlignment="1">
      <alignment horizontal="left" vertical="top"/>
    </xf>
    <xf numFmtId="0" fontId="87" fillId="0" borderId="18" xfId="0" applyFont="1" applyBorder="1" applyAlignment="1">
      <alignment horizontal="right" vertical="top"/>
    </xf>
    <xf numFmtId="0" fontId="94" fillId="5" borderId="65" xfId="0" applyFont="1" applyFill="1" applyBorder="1" applyAlignment="1">
      <alignment horizontal="center" vertical="center" wrapText="1"/>
    </xf>
    <xf numFmtId="0" fontId="94" fillId="5" borderId="16" xfId="0" applyFont="1" applyFill="1" applyBorder="1" applyAlignment="1">
      <alignment horizontal="center" vertical="center" wrapText="1"/>
    </xf>
    <xf numFmtId="0" fontId="94" fillId="5" borderId="67" xfId="0" applyFont="1" applyFill="1" applyBorder="1" applyAlignment="1">
      <alignment horizontal="center" vertical="center" wrapText="1"/>
    </xf>
    <xf numFmtId="0" fontId="94" fillId="5" borderId="25" xfId="0" applyFont="1" applyFill="1" applyBorder="1" applyAlignment="1">
      <alignment horizontal="center" vertical="center" wrapText="1"/>
    </xf>
    <xf numFmtId="0" fontId="94" fillId="0" borderId="67" xfId="0" applyFont="1" applyBorder="1" applyAlignment="1">
      <alignment horizontal="center" vertical="center" wrapText="1"/>
    </xf>
    <xf numFmtId="0" fontId="94" fillId="0" borderId="25" xfId="0" applyFont="1" applyBorder="1" applyAlignment="1">
      <alignment horizontal="center" vertical="center" wrapText="1"/>
    </xf>
    <xf numFmtId="0" fontId="91" fillId="0" borderId="25" xfId="0" applyFont="1" applyBorder="1" applyAlignment="1">
      <alignment vertical="center" wrapText="1"/>
    </xf>
    <xf numFmtId="4" fontId="94" fillId="0" borderId="25" xfId="0" applyNumberFormat="1" applyFont="1" applyBorder="1" applyAlignment="1">
      <alignment horizontal="right" vertical="center" wrapText="1"/>
    </xf>
    <xf numFmtId="0" fontId="94" fillId="0" borderId="25" xfId="0" applyFont="1" applyBorder="1" applyAlignment="1">
      <alignment vertical="center" wrapText="1"/>
    </xf>
    <xf numFmtId="0" fontId="94" fillId="0" borderId="25" xfId="0" applyFont="1" applyBorder="1" applyAlignment="1">
      <alignment horizontal="right" vertical="center" wrapText="1"/>
    </xf>
    <xf numFmtId="10" fontId="91" fillId="0" borderId="25" xfId="0" applyNumberFormat="1" applyFont="1" applyBorder="1" applyAlignment="1">
      <alignment horizontal="right" vertical="center" wrapText="1"/>
    </xf>
    <xf numFmtId="2" fontId="94" fillId="0" borderId="25" xfId="0" applyNumberFormat="1" applyFont="1" applyBorder="1" applyAlignment="1">
      <alignment horizontal="right" vertical="center" wrapText="1"/>
    </xf>
    <xf numFmtId="0" fontId="94" fillId="0" borderId="67" xfId="0" applyFont="1" applyBorder="1" applyAlignment="1">
      <alignment vertical="center" wrapText="1"/>
    </xf>
    <xf numFmtId="0" fontId="92" fillId="0" borderId="25" xfId="0" applyFont="1" applyBorder="1" applyAlignment="1">
      <alignment horizontal="right" vertical="center" wrapText="1"/>
    </xf>
    <xf numFmtId="4" fontId="92" fillId="0" borderId="25" xfId="0" applyNumberFormat="1" applyFont="1" applyBorder="1" applyAlignment="1">
      <alignment horizontal="right" vertical="center" wrapText="1"/>
    </xf>
    <xf numFmtId="166" fontId="94" fillId="0" borderId="25" xfId="0" applyNumberFormat="1" applyFont="1" applyBorder="1" applyAlignment="1">
      <alignment horizontal="right" vertical="center" wrapText="1"/>
    </xf>
    <xf numFmtId="0" fontId="12" fillId="0" borderId="0" xfId="123"/>
    <xf numFmtId="0" fontId="110" fillId="5" borderId="16" xfId="123" applyFont="1" applyFill="1" applyBorder="1" applyAlignment="1">
      <alignment horizontal="center" vertical="center" wrapText="1"/>
    </xf>
    <xf numFmtId="0" fontId="12" fillId="5" borderId="25" xfId="123" applyFill="1" applyBorder="1" applyAlignment="1">
      <alignment vertical="center" wrapText="1"/>
    </xf>
    <xf numFmtId="0" fontId="110" fillId="5" borderId="25" xfId="123" applyFont="1" applyFill="1" applyBorder="1" applyAlignment="1">
      <alignment horizontal="center" vertical="center" wrapText="1"/>
    </xf>
    <xf numFmtId="0" fontId="20" fillId="0" borderId="67" xfId="123" applyFont="1" applyBorder="1" applyAlignment="1">
      <alignment horizontal="right" vertical="center" wrapText="1"/>
    </xf>
    <xf numFmtId="0" fontId="20" fillId="0" borderId="25" xfId="123" applyFont="1" applyBorder="1" applyAlignment="1">
      <alignment vertical="center" wrapText="1"/>
    </xf>
    <xf numFmtId="0" fontId="20" fillId="0" borderId="25" xfId="123" applyFont="1" applyBorder="1" applyAlignment="1">
      <alignment horizontal="right" vertical="center" wrapText="1"/>
    </xf>
    <xf numFmtId="0" fontId="87" fillId="0" borderId="0" xfId="0" applyFont="1" applyAlignment="1">
      <alignment horizontal="left" vertical="top" wrapText="1"/>
    </xf>
    <xf numFmtId="0" fontId="87" fillId="0" borderId="18" xfId="0" applyFont="1" applyBorder="1" applyAlignment="1">
      <alignment horizontal="left" vertical="top" wrapText="1"/>
    </xf>
    <xf numFmtId="164" fontId="91" fillId="0" borderId="18" xfId="121" applyNumberFormat="1" applyFont="1" applyBorder="1" applyAlignment="1">
      <alignment horizontal="center" vertical="center" wrapText="1"/>
    </xf>
    <xf numFmtId="0" fontId="91" fillId="0" borderId="18" xfId="121" applyFont="1" applyBorder="1" applyAlignment="1">
      <alignment vertical="center" wrapText="1"/>
    </xf>
    <xf numFmtId="0" fontId="94" fillId="0" borderId="19" xfId="121" applyFont="1" applyBorder="1" applyAlignment="1">
      <alignment horizontal="center" vertical="center" wrapText="1"/>
    </xf>
    <xf numFmtId="0" fontId="94" fillId="0" borderId="0" xfId="121" applyFont="1" applyAlignment="1">
      <alignment horizontal="center" vertical="center" wrapText="1"/>
    </xf>
    <xf numFmtId="0" fontId="94" fillId="0" borderId="17" xfId="121" applyFont="1" applyBorder="1" applyAlignment="1">
      <alignment horizontal="center" vertical="center" wrapText="1"/>
    </xf>
    <xf numFmtId="0" fontId="94" fillId="0" borderId="18" xfId="121" applyFont="1" applyBorder="1" applyAlignment="1">
      <alignment horizontal="right" vertical="center" wrapText="1"/>
    </xf>
    <xf numFmtId="4" fontId="91" fillId="0" borderId="18" xfId="121" applyNumberFormat="1" applyFont="1" applyBorder="1" applyAlignment="1">
      <alignment horizontal="center" vertical="center" wrapText="1"/>
    </xf>
    <xf numFmtId="0" fontId="103" fillId="0" borderId="18" xfId="0" applyFont="1" applyBorder="1" applyAlignment="1">
      <alignment horizontal="left" vertical="center"/>
    </xf>
    <xf numFmtId="0" fontId="103" fillId="0" borderId="18" xfId="0" applyFont="1" applyBorder="1" applyAlignment="1">
      <alignment horizontal="left" vertical="center" wrapText="1"/>
    </xf>
    <xf numFmtId="0" fontId="87" fillId="0" borderId="18" xfId="0" applyFont="1" applyBorder="1" applyAlignment="1">
      <alignment horizontal="center" vertical="top"/>
    </xf>
    <xf numFmtId="0" fontId="87" fillId="0" borderId="18" xfId="0" applyFont="1" applyBorder="1" applyAlignment="1">
      <alignment horizontal="right" vertical="center"/>
    </xf>
    <xf numFmtId="2" fontId="94" fillId="0" borderId="17" xfId="121" applyNumberFormat="1" applyFont="1" applyBorder="1" applyAlignment="1">
      <alignment horizontal="center" vertical="center" wrapText="1"/>
    </xf>
    <xf numFmtId="0" fontId="13" fillId="0" borderId="0" xfId="121" applyAlignment="1">
      <alignment horizontal="center" wrapText="1"/>
    </xf>
    <xf numFmtId="0" fontId="91" fillId="0" borderId="37" xfId="121" applyFont="1" applyBorder="1" applyAlignment="1">
      <alignment vertical="center" wrapText="1"/>
    </xf>
    <xf numFmtId="0" fontId="91" fillId="0" borderId="37" xfId="121" applyFont="1" applyBorder="1" applyAlignment="1">
      <alignment horizontal="right" vertical="center" wrapText="1"/>
    </xf>
    <xf numFmtId="0" fontId="13" fillId="0" borderId="18" xfId="121" applyBorder="1" applyAlignment="1">
      <alignment wrapText="1"/>
    </xf>
    <xf numFmtId="0" fontId="94" fillId="0" borderId="37" xfId="121" applyFont="1" applyBorder="1" applyAlignment="1">
      <alignment vertical="center" wrapText="1"/>
    </xf>
    <xf numFmtId="0" fontId="94" fillId="0" borderId="37" xfId="121" applyFont="1" applyBorder="1" applyAlignment="1">
      <alignment horizontal="right" vertical="center" wrapText="1"/>
    </xf>
    <xf numFmtId="0" fontId="94" fillId="0" borderId="37" xfId="121" applyFont="1" applyBorder="1" applyAlignment="1">
      <alignment horizontal="center" vertical="center" wrapText="1"/>
    </xf>
    <xf numFmtId="2" fontId="94" fillId="0" borderId="36" xfId="121" applyNumberFormat="1" applyFont="1" applyBorder="1" applyAlignment="1">
      <alignment horizontal="center" vertical="center" wrapText="1"/>
    </xf>
    <xf numFmtId="0" fontId="13" fillId="0" borderId="13" xfId="121" applyBorder="1" applyAlignment="1">
      <alignment horizontal="center" wrapText="1"/>
    </xf>
    <xf numFmtId="0" fontId="91" fillId="0" borderId="18" xfId="121" applyFont="1" applyBorder="1" applyAlignment="1">
      <alignment horizontal="center" vertical="center"/>
    </xf>
    <xf numFmtId="0" fontId="91" fillId="0" borderId="38" xfId="121" applyFont="1" applyBorder="1" applyAlignment="1">
      <alignment horizontal="center" vertical="center"/>
    </xf>
    <xf numFmtId="0" fontId="90" fillId="0" borderId="38" xfId="121" applyFont="1" applyBorder="1" applyAlignment="1">
      <alignment horizontal="center" vertical="center"/>
    </xf>
    <xf numFmtId="0" fontId="97" fillId="0" borderId="18" xfId="121" applyFont="1" applyBorder="1" applyAlignment="1">
      <alignment horizontal="center" vertical="center" wrapText="1"/>
    </xf>
    <xf numFmtId="0" fontId="92" fillId="0" borderId="0" xfId="121" applyFont="1" applyAlignment="1">
      <alignment horizontal="center" vertical="center" wrapText="1"/>
    </xf>
    <xf numFmtId="0" fontId="13" fillId="0" borderId="24" xfId="121" applyBorder="1" applyAlignment="1">
      <alignment horizontal="center" wrapText="1"/>
    </xf>
    <xf numFmtId="0" fontId="91" fillId="0" borderId="30" xfId="121" applyFont="1" applyBorder="1" applyAlignment="1">
      <alignment vertical="center"/>
    </xf>
    <xf numFmtId="0" fontId="91" fillId="0" borderId="30" xfId="121" applyFont="1" applyBorder="1" applyAlignment="1">
      <alignment vertical="center" wrapText="1"/>
    </xf>
    <xf numFmtId="0" fontId="94" fillId="0" borderId="30" xfId="121" applyFont="1" applyBorder="1" applyAlignment="1">
      <alignment horizontal="center" vertical="center" wrapText="1"/>
    </xf>
    <xf numFmtId="0" fontId="11" fillId="0" borderId="0" xfId="121" applyFont="1" applyAlignment="1">
      <alignment wrapText="1"/>
    </xf>
    <xf numFmtId="0" fontId="11" fillId="0" borderId="18" xfId="121" applyFont="1" applyBorder="1" applyAlignment="1">
      <alignment horizontal="center" vertical="center" wrapText="1"/>
    </xf>
    <xf numFmtId="0" fontId="94" fillId="0" borderId="30" xfId="121" applyFont="1" applyBorder="1" applyAlignment="1">
      <alignment horizontal="center" vertical="center"/>
    </xf>
    <xf numFmtId="0" fontId="94" fillId="0" borderId="19" xfId="121" applyFont="1" applyBorder="1" applyAlignment="1">
      <alignment horizontal="center" vertical="center"/>
    </xf>
    <xf numFmtId="0" fontId="91" fillId="0" borderId="19" xfId="121" applyFont="1" applyBorder="1" applyAlignment="1">
      <alignment horizontal="center" vertical="center"/>
    </xf>
    <xf numFmtId="1" fontId="91" fillId="0" borderId="18" xfId="121" applyNumberFormat="1" applyFont="1" applyBorder="1" applyAlignment="1">
      <alignment horizontal="right" vertical="center" wrapText="1"/>
    </xf>
    <xf numFmtId="0" fontId="13" fillId="0" borderId="15" xfId="121" applyBorder="1" applyAlignment="1">
      <alignment horizontal="center" wrapText="1"/>
    </xf>
    <xf numFmtId="0" fontId="94" fillId="0" borderId="18" xfId="121" applyFont="1" applyBorder="1" applyAlignment="1">
      <alignment vertical="center" wrapText="1"/>
    </xf>
    <xf numFmtId="4" fontId="13" fillId="0" borderId="0" xfId="121" applyNumberFormat="1" applyAlignment="1">
      <alignment wrapText="1"/>
    </xf>
    <xf numFmtId="4" fontId="94" fillId="0" borderId="18" xfId="121" applyNumberFormat="1" applyFont="1" applyBorder="1" applyAlignment="1">
      <alignment horizontal="right" vertical="center" wrapText="1"/>
    </xf>
    <xf numFmtId="0" fontId="13" fillId="0" borderId="14" xfId="121" applyBorder="1" applyAlignment="1">
      <alignment wrapText="1"/>
    </xf>
    <xf numFmtId="0" fontId="107" fillId="0" borderId="0" xfId="121" applyFont="1" applyAlignment="1">
      <alignment horizontal="center" wrapText="1"/>
    </xf>
    <xf numFmtId="170" fontId="11" fillId="0" borderId="17" xfId="121" applyNumberFormat="1" applyFont="1" applyBorder="1" applyAlignment="1">
      <alignment wrapText="1"/>
    </xf>
    <xf numFmtId="0" fontId="13" fillId="0" borderId="19" xfId="121" applyBorder="1" applyAlignment="1">
      <alignment wrapText="1"/>
    </xf>
    <xf numFmtId="170" fontId="11" fillId="0" borderId="17" xfId="121" applyNumberFormat="1" applyFont="1" applyBorder="1" applyAlignment="1">
      <alignment horizontal="right" wrapText="1"/>
    </xf>
    <xf numFmtId="0" fontId="11" fillId="0" borderId="17" xfId="121" applyFont="1" applyBorder="1" applyAlignment="1">
      <alignment wrapText="1"/>
    </xf>
    <xf numFmtId="0" fontId="11" fillId="0" borderId="33" xfId="121" applyFont="1" applyBorder="1" applyAlignment="1">
      <alignment wrapText="1"/>
    </xf>
    <xf numFmtId="0" fontId="13" fillId="0" borderId="34" xfId="121" applyBorder="1" applyAlignment="1">
      <alignment wrapText="1"/>
    </xf>
    <xf numFmtId="0" fontId="13" fillId="0" borderId="35" xfId="121" applyBorder="1" applyAlignment="1">
      <alignment wrapText="1"/>
    </xf>
    <xf numFmtId="0" fontId="107" fillId="0" borderId="27" xfId="121" applyFont="1" applyBorder="1" applyAlignment="1">
      <alignment wrapText="1"/>
    </xf>
    <xf numFmtId="0" fontId="107" fillId="0" borderId="26" xfId="121" applyFont="1" applyBorder="1" applyAlignment="1">
      <alignment horizontal="center" vertical="center" wrapText="1"/>
    </xf>
    <xf numFmtId="0" fontId="107" fillId="0" borderId="27" xfId="121" applyFont="1" applyBorder="1" applyAlignment="1">
      <alignment horizontal="center" vertical="center" wrapText="1"/>
    </xf>
    <xf numFmtId="0" fontId="107" fillId="0" borderId="32" xfId="121" applyFont="1" applyBorder="1" applyAlignment="1">
      <alignment horizontal="center" vertical="center" wrapText="1"/>
    </xf>
    <xf numFmtId="0" fontId="115" fillId="0" borderId="0" xfId="121" applyFont="1" applyAlignment="1">
      <alignment vertical="center" wrapText="1"/>
    </xf>
    <xf numFmtId="0" fontId="13" fillId="0" borderId="17" xfId="121" applyBorder="1" applyAlignment="1">
      <alignment wrapText="1"/>
    </xf>
    <xf numFmtId="0" fontId="13" fillId="0" borderId="33" xfId="121" applyBorder="1" applyAlignment="1">
      <alignment wrapText="1"/>
    </xf>
    <xf numFmtId="0" fontId="13" fillId="0" borderId="18" xfId="121" applyBorder="1" applyAlignment="1">
      <alignment horizontal="center" vertical="center" wrapText="1"/>
    </xf>
    <xf numFmtId="0" fontId="114" fillId="0" borderId="18" xfId="121" applyFont="1" applyBorder="1" applyAlignment="1">
      <alignment horizontal="center" vertical="center" wrapText="1"/>
    </xf>
    <xf numFmtId="4" fontId="13" fillId="0" borderId="18" xfId="121" applyNumberFormat="1" applyBorder="1" applyAlignment="1">
      <alignment horizontal="center" vertical="center" wrapText="1"/>
    </xf>
    <xf numFmtId="0" fontId="10" fillId="0" borderId="0" xfId="121" applyFont="1" applyAlignment="1">
      <alignment wrapText="1"/>
    </xf>
    <xf numFmtId="0" fontId="10" fillId="0" borderId="0" xfId="121" applyFont="1" applyAlignment="1">
      <alignment horizontal="center"/>
    </xf>
    <xf numFmtId="0" fontId="11" fillId="0" borderId="0" xfId="121" applyFont="1" applyAlignment="1">
      <alignment horizontal="right" wrapText="1"/>
    </xf>
    <xf numFmtId="0" fontId="13" fillId="0" borderId="0" xfId="121" applyAlignment="1">
      <alignment horizontal="right" wrapText="1"/>
    </xf>
    <xf numFmtId="4" fontId="107" fillId="0" borderId="0" xfId="121" applyNumberFormat="1" applyFont="1" applyAlignment="1">
      <alignment wrapText="1"/>
    </xf>
    <xf numFmtId="0" fontId="107" fillId="0" borderId="0" xfId="121" applyFont="1" applyAlignment="1">
      <alignment horizontal="right" wrapText="1" indent="1"/>
    </xf>
    <xf numFmtId="0" fontId="107" fillId="0" borderId="0" xfId="121" applyFont="1" applyAlignment="1">
      <alignment wrapText="1"/>
    </xf>
    <xf numFmtId="0" fontId="10" fillId="0" borderId="0" xfId="121" applyFont="1" applyAlignment="1">
      <alignment vertical="center" wrapText="1"/>
    </xf>
    <xf numFmtId="4" fontId="107" fillId="0" borderId="0" xfId="121" applyNumberFormat="1" applyFont="1" applyAlignment="1">
      <alignment vertical="center" wrapText="1"/>
    </xf>
    <xf numFmtId="1" fontId="94" fillId="0" borderId="18" xfId="121" applyNumberFormat="1" applyFont="1" applyBorder="1" applyAlignment="1">
      <alignment horizontal="right" vertical="center" wrapText="1"/>
    </xf>
    <xf numFmtId="1" fontId="91" fillId="0" borderId="18" xfId="121" applyNumberFormat="1" applyFont="1" applyBorder="1" applyAlignment="1">
      <alignment horizontal="center" vertical="center" wrapText="1"/>
    </xf>
    <xf numFmtId="0" fontId="91" fillId="0" borderId="37" xfId="121" applyFont="1" applyBorder="1" applyAlignment="1">
      <alignment horizontal="center" vertical="center" wrapText="1"/>
    </xf>
    <xf numFmtId="0" fontId="10" fillId="0" borderId="18" xfId="121" applyFont="1" applyBorder="1" applyAlignment="1">
      <alignment horizontal="center" vertical="center" wrapText="1"/>
    </xf>
    <xf numFmtId="2" fontId="13" fillId="0" borderId="18" xfId="121" applyNumberFormat="1" applyBorder="1" applyAlignment="1">
      <alignment horizontal="center" vertical="center" wrapText="1"/>
    </xf>
    <xf numFmtId="14" fontId="0" fillId="0" borderId="0" xfId="0" applyNumberFormat="1" applyAlignment="1">
      <alignment horizontal="left" vertical="top"/>
    </xf>
    <xf numFmtId="175" fontId="0" fillId="0" borderId="0" xfId="122" applyNumberFormat="1" applyFont="1" applyAlignment="1">
      <alignment horizontal="left" vertical="top"/>
    </xf>
    <xf numFmtId="43" fontId="0" fillId="0" borderId="0" xfId="0" applyNumberFormat="1" applyAlignment="1">
      <alignment horizontal="left" vertical="top"/>
    </xf>
    <xf numFmtId="177" fontId="0" fillId="0" borderId="0" xfId="0" applyNumberFormat="1" applyAlignment="1">
      <alignment horizontal="left" vertical="top"/>
    </xf>
    <xf numFmtId="0" fontId="107" fillId="0" borderId="18" xfId="0" applyFont="1" applyBorder="1"/>
    <xf numFmtId="10" fontId="0" fillId="0" borderId="1" xfId="0" applyNumberFormat="1" applyBorder="1" applyAlignment="1">
      <alignment horizontal="center" vertical="center" wrapText="1"/>
    </xf>
    <xf numFmtId="9" fontId="0" fillId="0" borderId="1" xfId="0" applyNumberFormat="1" applyBorder="1" applyAlignment="1">
      <alignment horizontal="center" vertical="center" wrapText="1"/>
    </xf>
    <xf numFmtId="3" fontId="0" fillId="0" borderId="18" xfId="0" applyNumberFormat="1" applyBorder="1" applyAlignment="1">
      <alignment horizontal="center" vertical="center"/>
    </xf>
    <xf numFmtId="0" fontId="0" fillId="0" borderId="56" xfId="0" applyBorder="1" applyAlignment="1">
      <alignment horizontal="center" vertical="center" wrapText="1"/>
    </xf>
    <xf numFmtId="3" fontId="0" fillId="0" borderId="2" xfId="0" applyNumberFormat="1" applyBorder="1" applyAlignment="1">
      <alignment horizontal="center" vertical="center" wrapText="1"/>
    </xf>
    <xf numFmtId="178" fontId="0" fillId="0" borderId="0" xfId="0" applyNumberFormat="1" applyAlignment="1">
      <alignment horizontal="left" vertical="top"/>
    </xf>
    <xf numFmtId="2" fontId="0" fillId="0" borderId="0" xfId="0" applyNumberFormat="1" applyAlignment="1">
      <alignment horizontal="left" vertical="top"/>
    </xf>
    <xf numFmtId="0" fontId="95" fillId="0" borderId="24" xfId="0" applyFont="1" applyBorder="1" applyAlignment="1">
      <alignment vertical="center"/>
    </xf>
    <xf numFmtId="0" fontId="95" fillId="0" borderId="0" xfId="0" applyFont="1" applyAlignment="1">
      <alignment vertical="center"/>
    </xf>
    <xf numFmtId="10" fontId="0" fillId="0" borderId="0" xfId="0" applyNumberFormat="1" applyAlignment="1">
      <alignment horizontal="left" vertical="top"/>
    </xf>
    <xf numFmtId="179" fontId="0" fillId="0" borderId="0" xfId="0" applyNumberFormat="1" applyAlignment="1">
      <alignment horizontal="left" vertical="top"/>
    </xf>
    <xf numFmtId="4" fontId="0" fillId="0" borderId="0" xfId="0" applyNumberFormat="1" applyAlignment="1">
      <alignment horizontal="left" vertical="top"/>
    </xf>
    <xf numFmtId="4" fontId="94" fillId="0" borderId="18" xfId="0" applyNumberFormat="1" applyFont="1" applyBorder="1" applyAlignment="1">
      <alignment horizontal="right" vertical="center" wrapText="1"/>
    </xf>
    <xf numFmtId="0" fontId="91" fillId="0" borderId="18" xfId="0" applyFont="1" applyBorder="1" applyAlignment="1">
      <alignment vertical="center" wrapText="1"/>
    </xf>
    <xf numFmtId="0" fontId="94" fillId="0" borderId="18" xfId="0" applyFont="1" applyBorder="1" applyAlignment="1">
      <alignment horizontal="right" vertical="center" wrapText="1"/>
    </xf>
    <xf numFmtId="2" fontId="94" fillId="0" borderId="18" xfId="0" applyNumberFormat="1" applyFont="1" applyBorder="1" applyAlignment="1">
      <alignment horizontal="right" vertical="center" wrapText="1"/>
    </xf>
    <xf numFmtId="10" fontId="91" fillId="0" borderId="18" xfId="0" applyNumberFormat="1" applyFont="1" applyBorder="1" applyAlignment="1">
      <alignment horizontal="right" vertical="center" wrapText="1"/>
    </xf>
    <xf numFmtId="0" fontId="92" fillId="0" borderId="18" xfId="0" applyFont="1" applyBorder="1" applyAlignment="1">
      <alignment horizontal="right" vertical="center" wrapText="1"/>
    </xf>
    <xf numFmtId="166" fontId="94" fillId="0" borderId="18" xfId="0" applyNumberFormat="1" applyFont="1" applyBorder="1" applyAlignment="1">
      <alignment horizontal="right" vertical="center" wrapText="1"/>
    </xf>
    <xf numFmtId="0" fontId="87" fillId="0" borderId="18" xfId="0" applyFont="1" applyBorder="1" applyAlignment="1">
      <alignment horizontal="center" vertical="center"/>
    </xf>
    <xf numFmtId="1" fontId="39" fillId="0" borderId="0" xfId="0" applyNumberFormat="1" applyFont="1" applyAlignment="1">
      <alignment horizontal="left" vertical="top" wrapText="1" shrinkToFit="1"/>
    </xf>
    <xf numFmtId="10" fontId="81" fillId="0" borderId="1" xfId="0" applyNumberFormat="1" applyFont="1" applyBorder="1" applyAlignment="1">
      <alignment horizontal="center" vertical="center" wrapText="1"/>
    </xf>
    <xf numFmtId="3" fontId="0" fillId="3" borderId="18" xfId="0" applyNumberFormat="1" applyFill="1" applyBorder="1" applyAlignment="1">
      <alignment horizontal="center" vertical="center"/>
    </xf>
    <xf numFmtId="0" fontId="0" fillId="3" borderId="1" xfId="0" applyFill="1" applyBorder="1" applyAlignment="1">
      <alignment horizontal="center" vertical="center" wrapText="1"/>
    </xf>
    <xf numFmtId="0" fontId="0" fillId="3" borderId="56" xfId="0" applyFill="1" applyBorder="1" applyAlignment="1">
      <alignment horizontal="center" vertical="center" wrapText="1"/>
    </xf>
    <xf numFmtId="10" fontId="0" fillId="3" borderId="1" xfId="0" applyNumberFormat="1" applyFill="1" applyBorder="1" applyAlignment="1">
      <alignment horizontal="center" vertical="center" wrapText="1"/>
    </xf>
    <xf numFmtId="9" fontId="0" fillId="3" borderId="1" xfId="0" applyNumberFormat="1" applyFill="1" applyBorder="1" applyAlignment="1">
      <alignment horizontal="center" vertical="center" wrapText="1"/>
    </xf>
    <xf numFmtId="3" fontId="0" fillId="3" borderId="2" xfId="0" applyNumberFormat="1" applyFill="1" applyBorder="1" applyAlignment="1">
      <alignment horizontal="center" vertical="center" wrapText="1"/>
    </xf>
    <xf numFmtId="4" fontId="94" fillId="0" borderId="18" xfId="0" applyNumberFormat="1" applyFont="1" applyBorder="1" applyAlignment="1">
      <alignment horizontal="center" vertical="center" wrapText="1"/>
    </xf>
    <xf numFmtId="0" fontId="0" fillId="0" borderId="18" xfId="0" applyBorder="1" applyAlignment="1">
      <alignment horizontal="center" vertical="center"/>
    </xf>
    <xf numFmtId="0" fontId="98" fillId="0" borderId="0" xfId="121" applyFont="1" applyAlignment="1">
      <alignment vertical="center" wrapText="1"/>
    </xf>
    <xf numFmtId="0" fontId="91" fillId="0" borderId="30" xfId="121" applyFont="1" applyBorder="1" applyAlignment="1">
      <alignment horizontal="center" vertical="center" wrapText="1"/>
    </xf>
    <xf numFmtId="0" fontId="91" fillId="0" borderId="18" xfId="121" applyFont="1" applyBorder="1" applyAlignment="1">
      <alignment horizontal="center" vertical="center" wrapText="1"/>
    </xf>
    <xf numFmtId="0" fontId="94" fillId="0" borderId="18" xfId="121" applyFont="1" applyBorder="1" applyAlignment="1">
      <alignment horizontal="center" vertical="center" wrapText="1"/>
    </xf>
    <xf numFmtId="0" fontId="92" fillId="0" borderId="18" xfId="121" applyFont="1" applyBorder="1" applyAlignment="1">
      <alignment vertical="center" wrapText="1"/>
    </xf>
    <xf numFmtId="0" fontId="92" fillId="0" borderId="19" xfId="121" applyFont="1" applyBorder="1" applyAlignment="1">
      <alignment vertical="center" wrapText="1"/>
    </xf>
    <xf numFmtId="0" fontId="96" fillId="0" borderId="0" xfId="121" applyFont="1" applyAlignment="1">
      <alignment wrapText="1"/>
    </xf>
    <xf numFmtId="10" fontId="87" fillId="0" borderId="18" xfId="0" applyNumberFormat="1" applyFont="1" applyBorder="1" applyAlignment="1">
      <alignment horizontal="center" vertical="center"/>
    </xf>
    <xf numFmtId="0" fontId="0" fillId="0" borderId="15" xfId="0" applyBorder="1" applyAlignment="1">
      <alignment horizontal="left" vertical="top"/>
    </xf>
    <xf numFmtId="0" fontId="0" fillId="0" borderId="16" xfId="0" applyBorder="1" applyAlignment="1">
      <alignment horizontal="left" vertical="top"/>
    </xf>
    <xf numFmtId="0" fontId="94" fillId="0" borderId="17" xfId="121" quotePrefix="1" applyFont="1" applyBorder="1" applyAlignment="1">
      <alignment horizontal="center" vertical="center" wrapText="1"/>
    </xf>
    <xf numFmtId="0" fontId="91" fillId="0" borderId="17" xfId="121" quotePrefix="1" applyFont="1" applyBorder="1" applyAlignment="1">
      <alignment horizontal="center" vertical="center" wrapText="1"/>
    </xf>
    <xf numFmtId="0" fontId="91" fillId="0" borderId="18" xfId="121" applyFont="1" applyBorder="1" applyAlignment="1">
      <alignment horizontal="right" vertical="center" wrapText="1"/>
    </xf>
    <xf numFmtId="0" fontId="122" fillId="0" borderId="18" xfId="121" applyFont="1" applyBorder="1" applyAlignment="1">
      <alignment vertical="center" wrapText="1"/>
    </xf>
    <xf numFmtId="0" fontId="122" fillId="0" borderId="18" xfId="121" applyFont="1" applyBorder="1" applyAlignment="1">
      <alignment horizontal="center" vertical="center" wrapText="1"/>
    </xf>
    <xf numFmtId="0" fontId="118" fillId="0" borderId="18" xfId="121" applyFont="1" applyBorder="1" applyAlignment="1">
      <alignment horizontal="center" vertical="center" wrapText="1"/>
    </xf>
    <xf numFmtId="4" fontId="91" fillId="0" borderId="19" xfId="121" applyNumberFormat="1" applyFont="1" applyBorder="1" applyAlignment="1">
      <alignment horizontal="center" vertical="center" wrapText="1"/>
    </xf>
    <xf numFmtId="0" fontId="121" fillId="0" borderId="19" xfId="121" applyFont="1" applyBorder="1" applyAlignment="1">
      <alignment horizontal="center" vertical="center" wrapText="1"/>
    </xf>
    <xf numFmtId="0" fontId="91" fillId="0" borderId="18" xfId="121" applyFont="1" applyBorder="1" applyAlignment="1">
      <alignment horizontal="left" vertical="center"/>
    </xf>
    <xf numFmtId="0" fontId="90" fillId="0" borderId="18" xfId="121" applyFont="1" applyBorder="1" applyAlignment="1">
      <alignment horizontal="left" vertical="center"/>
    </xf>
    <xf numFmtId="0" fontId="121" fillId="0" borderId="18" xfId="121" applyFont="1" applyBorder="1" applyAlignment="1">
      <alignment horizontal="center" vertical="center" wrapText="1"/>
    </xf>
    <xf numFmtId="0" fontId="90" fillId="0" borderId="18" xfId="121" applyFont="1" applyBorder="1" applyAlignment="1">
      <alignment horizontal="center" vertical="center"/>
    </xf>
    <xf numFmtId="0" fontId="118" fillId="0" borderId="19" xfId="121" applyFont="1" applyBorder="1" applyAlignment="1">
      <alignment horizontal="center" vertical="center" wrapText="1"/>
    </xf>
    <xf numFmtId="0" fontId="96" fillId="0" borderId="32" xfId="121" applyFont="1" applyBorder="1" applyAlignment="1">
      <alignment horizontal="center" vertical="center" wrapText="1"/>
    </xf>
    <xf numFmtId="0" fontId="91" fillId="0" borderId="19" xfId="121" applyFont="1" applyBorder="1" applyAlignment="1">
      <alignment horizontal="left" vertical="center"/>
    </xf>
    <xf numFmtId="0" fontId="90" fillId="0" borderId="19" xfId="121" applyFont="1" applyBorder="1" applyAlignment="1">
      <alignment horizontal="left" vertical="center"/>
    </xf>
    <xf numFmtId="0" fontId="91" fillId="0" borderId="33" xfId="121" applyFont="1" applyBorder="1" applyAlignment="1">
      <alignment horizontal="center" vertical="center" wrapText="1"/>
    </xf>
    <xf numFmtId="0" fontId="91" fillId="0" borderId="34" xfId="121" applyFont="1" applyBorder="1" applyAlignment="1">
      <alignment vertical="center" wrapText="1"/>
    </xf>
    <xf numFmtId="4" fontId="91" fillId="0" borderId="34" xfId="121" applyNumberFormat="1" applyFont="1" applyBorder="1" applyAlignment="1">
      <alignment horizontal="right" vertical="center" wrapText="1"/>
    </xf>
    <xf numFmtId="4" fontId="91" fillId="0" borderId="34" xfId="121" applyNumberFormat="1" applyFont="1" applyBorder="1" applyAlignment="1">
      <alignment horizontal="center" vertical="center" wrapText="1"/>
    </xf>
    <xf numFmtId="0" fontId="91" fillId="0" borderId="34" xfId="121" applyFont="1" applyBorder="1" applyAlignment="1">
      <alignment horizontal="center" vertical="center" wrapText="1"/>
    </xf>
    <xf numFmtId="0" fontId="91" fillId="0" borderId="35" xfId="121" applyFont="1" applyBorder="1" applyAlignment="1">
      <alignment horizontal="center" vertical="center" wrapText="1"/>
    </xf>
    <xf numFmtId="0" fontId="123" fillId="0" borderId="18" xfId="121" applyFont="1" applyBorder="1" applyAlignment="1">
      <alignment horizontal="center" vertical="center" wrapText="1"/>
    </xf>
    <xf numFmtId="0" fontId="11" fillId="0" borderId="18" xfId="121" applyFont="1" applyBorder="1" applyAlignment="1">
      <alignment wrapText="1"/>
    </xf>
    <xf numFmtId="0" fontId="107" fillId="0" borderId="18" xfId="121" applyFont="1" applyBorder="1" applyAlignment="1">
      <alignment wrapText="1"/>
    </xf>
    <xf numFmtId="0" fontId="91" fillId="0" borderId="26" xfId="121" applyFont="1" applyBorder="1" applyAlignment="1">
      <alignment horizontal="center" vertical="center" wrapText="1"/>
    </xf>
    <xf numFmtId="0" fontId="91" fillId="0" borderId="27" xfId="121" applyFont="1" applyBorder="1" applyAlignment="1">
      <alignment horizontal="center" vertical="center" wrapText="1"/>
    </xf>
    <xf numFmtId="164" fontId="91" fillId="0" borderId="30" xfId="121" applyNumberFormat="1" applyFont="1" applyBorder="1" applyAlignment="1">
      <alignment horizontal="center" vertical="center" wrapText="1"/>
    </xf>
    <xf numFmtId="0" fontId="94" fillId="0" borderId="15" xfId="121" applyFont="1" applyBorder="1" applyAlignment="1">
      <alignment horizontal="center" vertical="center" wrapText="1"/>
    </xf>
    <xf numFmtId="10" fontId="13" fillId="0" borderId="0" xfId="124" applyNumberFormat="1" applyFont="1" applyAlignment="1">
      <alignment wrapText="1"/>
    </xf>
    <xf numFmtId="10" fontId="91" fillId="0" borderId="18" xfId="121" applyNumberFormat="1" applyFont="1" applyBorder="1" applyAlignment="1">
      <alignment horizontal="center" vertical="center" wrapText="1"/>
    </xf>
    <xf numFmtId="2" fontId="91" fillId="0" borderId="30" xfId="121" applyNumberFormat="1" applyFont="1" applyBorder="1" applyAlignment="1">
      <alignment horizontal="center" vertical="center" wrapText="1"/>
    </xf>
    <xf numFmtId="10" fontId="94" fillId="0" borderId="18" xfId="121" applyNumberFormat="1" applyFont="1" applyBorder="1" applyAlignment="1">
      <alignment horizontal="center" vertical="center" wrapText="1"/>
    </xf>
    <xf numFmtId="0" fontId="124" fillId="0" borderId="18" xfId="121" applyFont="1" applyBorder="1" applyAlignment="1">
      <alignment horizontal="center" vertical="center" wrapText="1"/>
    </xf>
    <xf numFmtId="2" fontId="94" fillId="0" borderId="30" xfId="121" applyNumberFormat="1" applyFont="1" applyBorder="1" applyAlignment="1">
      <alignment horizontal="center" vertical="center" wrapText="1"/>
    </xf>
    <xf numFmtId="0" fontId="90" fillId="0" borderId="18" xfId="121" applyFont="1" applyBorder="1" applyAlignment="1">
      <alignment horizontal="center" vertical="center" wrapText="1"/>
    </xf>
    <xf numFmtId="170" fontId="91" fillId="0" borderId="30" xfId="121" applyNumberFormat="1" applyFont="1" applyBorder="1" applyAlignment="1">
      <alignment horizontal="center" vertical="center" wrapText="1"/>
    </xf>
    <xf numFmtId="10" fontId="91" fillId="0" borderId="18" xfId="124" applyNumberFormat="1" applyFont="1" applyBorder="1" applyAlignment="1">
      <alignment horizontal="center" vertical="center" wrapText="1"/>
    </xf>
    <xf numFmtId="0" fontId="36" fillId="0" borderId="13" xfId="0" applyFont="1" applyBorder="1" applyAlignment="1">
      <alignment horizontal="left" vertical="top" wrapText="1" indent="3"/>
    </xf>
    <xf numFmtId="0" fontId="119" fillId="0" borderId="18" xfId="121" applyFont="1" applyBorder="1" applyAlignment="1">
      <alignment horizontal="center" vertical="center" wrapText="1"/>
    </xf>
    <xf numFmtId="0" fontId="102" fillId="0" borderId="16" xfId="121" applyFont="1" applyBorder="1" applyAlignment="1">
      <alignment horizontal="left" vertical="center"/>
    </xf>
    <xf numFmtId="0" fontId="91" fillId="0" borderId="36" xfId="121" quotePrefix="1" applyFont="1" applyBorder="1" applyAlignment="1">
      <alignment horizontal="center" vertical="center" wrapText="1"/>
    </xf>
    <xf numFmtId="4" fontId="13" fillId="0" borderId="0" xfId="121" applyNumberFormat="1" applyAlignment="1">
      <alignment horizontal="center" vertical="center" wrapText="1"/>
    </xf>
    <xf numFmtId="0" fontId="13" fillId="0" borderId="0" xfId="121" applyAlignment="1">
      <alignment horizontal="center" vertical="center" wrapText="1"/>
    </xf>
    <xf numFmtId="4" fontId="11" fillId="0" borderId="18" xfId="121" applyNumberFormat="1" applyFont="1" applyBorder="1" applyAlignment="1">
      <alignment horizontal="center" vertical="center" wrapText="1"/>
    </xf>
    <xf numFmtId="4" fontId="107" fillId="0" borderId="18" xfId="121" applyNumberFormat="1" applyFont="1" applyBorder="1" applyAlignment="1">
      <alignment horizontal="center" vertical="center" wrapText="1"/>
    </xf>
    <xf numFmtId="4" fontId="125" fillId="0" borderId="18" xfId="62" applyNumberFormat="1" applyFont="1" applyBorder="1" applyAlignment="1">
      <alignment horizontal="center" vertical="center"/>
    </xf>
    <xf numFmtId="0" fontId="8" fillId="0" borderId="18" xfId="121" applyFont="1" applyBorder="1" applyAlignment="1">
      <alignment horizontal="center" vertical="center" wrapText="1"/>
    </xf>
    <xf numFmtId="2" fontId="8" fillId="0" borderId="18" xfId="121" applyNumberFormat="1" applyFont="1" applyBorder="1" applyAlignment="1">
      <alignment horizontal="center" vertical="center" wrapText="1"/>
    </xf>
    <xf numFmtId="0" fontId="63" fillId="0" borderId="18" xfId="62" applyFont="1" applyBorder="1" applyAlignment="1">
      <alignment horizontal="center"/>
    </xf>
    <xf numFmtId="2" fontId="81" fillId="0" borderId="0" xfId="0" applyNumberFormat="1" applyFont="1" applyAlignment="1">
      <alignment horizontal="center" vertical="center"/>
    </xf>
    <xf numFmtId="4" fontId="127" fillId="0" borderId="18" xfId="121" applyNumberFormat="1" applyFont="1" applyBorder="1" applyAlignment="1">
      <alignment horizontal="center" vertical="center" wrapText="1"/>
    </xf>
    <xf numFmtId="0" fontId="127" fillId="0" borderId="18" xfId="121" applyFont="1" applyBorder="1" applyAlignment="1">
      <alignment horizontal="center" vertical="center" wrapText="1"/>
    </xf>
    <xf numFmtId="4" fontId="124" fillId="0" borderId="18" xfId="121" applyNumberFormat="1" applyFont="1" applyBorder="1" applyAlignment="1">
      <alignment horizontal="center" vertical="center" wrapText="1"/>
    </xf>
    <xf numFmtId="0" fontId="79" fillId="0" borderId="18" xfId="62" applyFont="1" applyBorder="1" applyAlignment="1">
      <alignment horizontal="center" vertical="center"/>
    </xf>
    <xf numFmtId="4" fontId="79" fillId="0" borderId="18" xfId="62" applyNumberFormat="1" applyFont="1" applyBorder="1" applyAlignment="1">
      <alignment horizontal="center"/>
    </xf>
    <xf numFmtId="0" fontId="114" fillId="0" borderId="0" xfId="125" applyFont="1"/>
    <xf numFmtId="0" fontId="96" fillId="0" borderId="18" xfId="125" applyFont="1" applyBorder="1" applyAlignment="1">
      <alignment horizontal="center" vertical="center" wrapText="1"/>
    </xf>
    <xf numFmtId="0" fontId="96" fillId="0" borderId="17" xfId="125" applyFont="1" applyBorder="1" applyAlignment="1">
      <alignment horizontal="center" vertical="center"/>
    </xf>
    <xf numFmtId="2" fontId="104" fillId="0" borderId="18" xfId="0" applyNumberFormat="1" applyFont="1" applyBorder="1" applyAlignment="1">
      <alignment horizontal="center" vertical="center" wrapText="1"/>
    </xf>
    <xf numFmtId="1" fontId="128" fillId="0" borderId="18" xfId="0" applyNumberFormat="1" applyFont="1" applyBorder="1" applyAlignment="1">
      <alignment horizontal="center" vertical="center" shrinkToFit="1"/>
    </xf>
    <xf numFmtId="0" fontId="129" fillId="0" borderId="18" xfId="0" applyFont="1" applyBorder="1" applyAlignment="1">
      <alignment horizontal="center" vertical="center" wrapText="1"/>
    </xf>
    <xf numFmtId="1" fontId="130" fillId="0" borderId="18" xfId="0" applyNumberFormat="1" applyFont="1" applyBorder="1" applyAlignment="1">
      <alignment horizontal="center" vertical="center" shrinkToFit="1"/>
    </xf>
    <xf numFmtId="1" fontId="87" fillId="0" borderId="18" xfId="0" applyNumberFormat="1" applyFont="1" applyBorder="1" applyAlignment="1">
      <alignment horizontal="center" vertical="center" shrinkToFit="1"/>
    </xf>
    <xf numFmtId="1" fontId="40" fillId="0" borderId="18" xfId="0" applyNumberFormat="1" applyFont="1" applyBorder="1" applyAlignment="1">
      <alignment horizontal="center" vertical="center" shrinkToFit="1"/>
    </xf>
    <xf numFmtId="1" fontId="102" fillId="0" borderId="18" xfId="0" applyNumberFormat="1" applyFont="1" applyBorder="1" applyAlignment="1">
      <alignment horizontal="center" vertical="center" shrinkToFit="1"/>
    </xf>
    <xf numFmtId="2" fontId="131" fillId="0" borderId="18" xfId="0" applyNumberFormat="1" applyFont="1" applyBorder="1" applyAlignment="1">
      <alignment horizontal="center" vertical="center" wrapText="1"/>
    </xf>
    <xf numFmtId="0" fontId="132" fillId="0" borderId="0" xfId="125" applyFont="1"/>
    <xf numFmtId="2" fontId="134" fillId="0" borderId="18" xfId="125" applyNumberFormat="1" applyFont="1" applyBorder="1" applyAlignment="1">
      <alignment horizontal="center" vertical="center"/>
    </xf>
    <xf numFmtId="4" fontId="134" fillId="0" borderId="18" xfId="125" applyNumberFormat="1" applyFont="1" applyBorder="1" applyAlignment="1">
      <alignment horizontal="center" vertical="center"/>
    </xf>
    <xf numFmtId="0" fontId="134" fillId="0" borderId="18" xfId="125" applyFont="1" applyBorder="1" applyAlignment="1">
      <alignment horizontal="center"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120" fillId="0" borderId="15" xfId="0" applyFont="1" applyBorder="1" applyAlignment="1">
      <alignment horizontal="center" vertical="center" wrapText="1"/>
    </xf>
    <xf numFmtId="0" fontId="120" fillId="0" borderId="0" xfId="0" applyFont="1" applyAlignment="1">
      <alignment horizontal="center" vertical="center" wrapText="1"/>
    </xf>
    <xf numFmtId="0" fontId="94" fillId="0" borderId="18" xfId="0" applyFont="1" applyBorder="1" applyAlignment="1">
      <alignment vertical="center" wrapText="1"/>
    </xf>
    <xf numFmtId="0" fontId="94" fillId="0" borderId="18" xfId="0" applyFont="1" applyBorder="1" applyAlignment="1">
      <alignment horizontal="center" vertical="center" wrapText="1"/>
    </xf>
    <xf numFmtId="1" fontId="137" fillId="0" borderId="18" xfId="0" applyNumberFormat="1" applyFont="1" applyBorder="1" applyAlignment="1">
      <alignment horizontal="center" vertical="center" shrinkToFit="1"/>
    </xf>
    <xf numFmtId="0" fontId="54" fillId="0" borderId="18" xfId="0" applyFont="1" applyBorder="1" applyAlignment="1">
      <alignment horizontal="left" vertical="center"/>
    </xf>
    <xf numFmtId="0" fontId="6" fillId="0" borderId="0" xfId="126"/>
    <xf numFmtId="0" fontId="96" fillId="0" borderId="19" xfId="125" applyFont="1" applyBorder="1" applyAlignment="1">
      <alignment horizontal="center" vertical="center" wrapText="1"/>
    </xf>
    <xf numFmtId="0" fontId="104" fillId="0" borderId="0" xfId="0" applyFont="1" applyAlignment="1">
      <alignment horizontal="left" vertical="top"/>
    </xf>
    <xf numFmtId="0" fontId="87" fillId="0" borderId="15" xfId="0" applyFont="1" applyBorder="1" applyAlignment="1">
      <alignment horizontal="left" vertical="top"/>
    </xf>
    <xf numFmtId="0" fontId="103" fillId="0" borderId="0" xfId="0" applyFont="1" applyAlignment="1">
      <alignment horizontal="center" vertical="center"/>
    </xf>
    <xf numFmtId="0" fontId="104" fillId="0" borderId="16" xfId="0" applyFont="1" applyBorder="1" applyAlignment="1">
      <alignment horizontal="center" vertical="center"/>
    </xf>
    <xf numFmtId="0" fontId="104" fillId="0" borderId="15" xfId="0" applyFont="1" applyBorder="1" applyAlignment="1">
      <alignment horizontal="left" vertical="top"/>
    </xf>
    <xf numFmtId="0" fontId="104" fillId="0" borderId="14" xfId="0" applyFont="1" applyBorder="1" applyAlignment="1">
      <alignment horizontal="center" vertical="center"/>
    </xf>
    <xf numFmtId="0" fontId="104" fillId="0" borderId="18" xfId="0" applyFont="1" applyBorder="1" applyAlignment="1">
      <alignment horizontal="center" vertical="center"/>
    </xf>
    <xf numFmtId="0" fontId="131" fillId="0" borderId="18" xfId="0" applyFont="1" applyBorder="1" applyAlignment="1">
      <alignment horizontal="left" vertical="top"/>
    </xf>
    <xf numFmtId="0" fontId="131" fillId="0" borderId="19" xfId="0" applyFont="1" applyBorder="1" applyAlignment="1">
      <alignment horizontal="left" vertical="top"/>
    </xf>
    <xf numFmtId="0" fontId="131" fillId="0" borderId="17" xfId="0" applyFont="1" applyBorder="1" applyAlignment="1">
      <alignment horizontal="left" vertical="top"/>
    </xf>
    <xf numFmtId="0" fontId="131" fillId="0" borderId="18" xfId="0" applyFont="1" applyBorder="1" applyAlignment="1">
      <alignment horizontal="center" vertical="center" wrapText="1"/>
    </xf>
    <xf numFmtId="0" fontId="0" fillId="0" borderId="12" xfId="0" applyBorder="1" applyAlignment="1">
      <alignment horizontal="left" vertical="top" wrapText="1"/>
    </xf>
    <xf numFmtId="0" fontId="103" fillId="0" borderId="14" xfId="0" applyFont="1" applyBorder="1" applyAlignment="1">
      <alignment horizontal="right" vertical="center" wrapText="1"/>
    </xf>
    <xf numFmtId="0" fontId="103" fillId="0" borderId="16" xfId="0" applyFont="1" applyBorder="1" applyAlignment="1">
      <alignment horizontal="right" vertical="center" wrapText="1"/>
    </xf>
    <xf numFmtId="0" fontId="53" fillId="0" borderId="17" xfId="0" applyFont="1" applyBorder="1" applyAlignment="1">
      <alignment horizontal="left" vertical="top" wrapText="1"/>
    </xf>
    <xf numFmtId="0" fontId="54" fillId="0" borderId="17" xfId="0" applyFont="1" applyBorder="1" applyAlignment="1">
      <alignment horizontal="left" vertical="top" wrapText="1"/>
    </xf>
    <xf numFmtId="0" fontId="26" fillId="0" borderId="17" xfId="0" applyFont="1" applyBorder="1" applyAlignment="1">
      <alignment horizontal="left" vertical="top" wrapText="1"/>
    </xf>
    <xf numFmtId="0" fontId="0" fillId="0" borderId="15" xfId="0" applyBorder="1" applyAlignment="1">
      <alignment horizontal="left" wrapText="1"/>
    </xf>
    <xf numFmtId="0" fontId="0" fillId="0" borderId="23" xfId="0" applyBorder="1" applyAlignment="1">
      <alignment horizontal="left" vertical="center"/>
    </xf>
    <xf numFmtId="4" fontId="85" fillId="0" borderId="19" xfId="0" applyNumberFormat="1" applyFont="1" applyBorder="1" applyAlignment="1">
      <alignment horizontal="center" vertical="center" wrapText="1"/>
    </xf>
    <xf numFmtId="0" fontId="94" fillId="0" borderId="0" xfId="0" applyFont="1" applyAlignment="1">
      <alignment vertical="center" wrapText="1"/>
    </xf>
    <xf numFmtId="0" fontId="94" fillId="0" borderId="37" xfId="0" applyFont="1" applyBorder="1" applyAlignment="1">
      <alignment horizontal="center" vertical="center" wrapText="1"/>
    </xf>
    <xf numFmtId="0" fontId="94" fillId="0" borderId="19" xfId="0" applyFont="1" applyBorder="1" applyAlignment="1">
      <alignment horizontal="center" vertical="center" wrapText="1"/>
    </xf>
    <xf numFmtId="0" fontId="94" fillId="0" borderId="17" xfId="0" applyFont="1" applyBorder="1" applyAlignment="1">
      <alignment horizontal="center" vertical="center" wrapText="1"/>
    </xf>
    <xf numFmtId="0" fontId="94" fillId="0" borderId="36" xfId="0" applyFont="1" applyBorder="1" applyAlignment="1">
      <alignment horizontal="center" vertical="center" wrapText="1"/>
    </xf>
    <xf numFmtId="0" fontId="81" fillId="0" borderId="21" xfId="0" applyFont="1" applyBorder="1" applyAlignment="1">
      <alignment horizontal="left" wrapText="1"/>
    </xf>
    <xf numFmtId="0" fontId="81" fillId="0" borderId="18" xfId="0" applyFont="1" applyBorder="1" applyAlignment="1">
      <alignment horizontal="center" wrapText="1"/>
    </xf>
    <xf numFmtId="2" fontId="87" fillId="0" borderId="18" xfId="0" applyNumberFormat="1" applyFont="1" applyBorder="1" applyAlignment="1">
      <alignment horizontal="center" vertical="center" wrapText="1"/>
    </xf>
    <xf numFmtId="0" fontId="131" fillId="0" borderId="18" xfId="0" applyFont="1" applyBorder="1" applyAlignment="1">
      <alignment horizontal="center" vertical="center"/>
    </xf>
    <xf numFmtId="0" fontId="131" fillId="0" borderId="19" xfId="0" applyFont="1" applyBorder="1" applyAlignment="1">
      <alignment horizontal="center" vertical="center"/>
    </xf>
    <xf numFmtId="0" fontId="103" fillId="0" borderId="18" xfId="0" applyFont="1" applyBorder="1" applyAlignment="1">
      <alignment horizontal="left" vertical="top"/>
    </xf>
    <xf numFmtId="170" fontId="131" fillId="0" borderId="18" xfId="0" applyNumberFormat="1" applyFont="1" applyBorder="1" applyAlignment="1">
      <alignment horizontal="center" vertical="center" wrapText="1"/>
    </xf>
    <xf numFmtId="170" fontId="104" fillId="0" borderId="18" xfId="0" applyNumberFormat="1" applyFont="1" applyBorder="1" applyAlignment="1">
      <alignment horizontal="center" vertical="center" wrapText="1"/>
    </xf>
    <xf numFmtId="0" fontId="65" fillId="0" borderId="0" xfId="62" applyFont="1" applyAlignment="1">
      <alignment horizontal="center" vertical="center"/>
    </xf>
    <xf numFmtId="0" fontId="65" fillId="0" borderId="15" xfId="62" applyFont="1" applyBorder="1"/>
    <xf numFmtId="0" fontId="65" fillId="0" borderId="16" xfId="62" applyFont="1" applyBorder="1"/>
    <xf numFmtId="0" fontId="65" fillId="0" borderId="23" xfId="62" applyFont="1" applyBorder="1"/>
    <xf numFmtId="0" fontId="65" fillId="0" borderId="24" xfId="62" applyFont="1" applyBorder="1"/>
    <xf numFmtId="0" fontId="65" fillId="0" borderId="25" xfId="62" applyFont="1" applyBorder="1"/>
    <xf numFmtId="0" fontId="142" fillId="0" borderId="0" xfId="62" applyFont="1" applyAlignment="1">
      <alignment horizontal="center" vertical="center"/>
    </xf>
    <xf numFmtId="0" fontId="25" fillId="0" borderId="2" xfId="127" applyFont="1" applyBorder="1" applyAlignment="1">
      <alignment horizontal="center" vertical="center" wrapText="1"/>
    </xf>
    <xf numFmtId="0" fontId="25" fillId="0" borderId="44" xfId="127" applyFont="1" applyBorder="1" applyAlignment="1">
      <alignment horizontal="center" vertical="center" wrapText="1"/>
    </xf>
    <xf numFmtId="0" fontId="25" fillId="0" borderId="19" xfId="127" applyFont="1" applyBorder="1" applyAlignment="1">
      <alignment horizontal="center" vertical="center" wrapText="1"/>
    </xf>
    <xf numFmtId="0" fontId="141" fillId="0" borderId="19" xfId="127" applyFont="1" applyBorder="1" applyAlignment="1">
      <alignment horizontal="center" vertical="center" wrapText="1"/>
    </xf>
    <xf numFmtId="3" fontId="0" fillId="0" borderId="0" xfId="0" applyNumberFormat="1" applyAlignment="1">
      <alignment horizontal="left" vertical="top"/>
    </xf>
    <xf numFmtId="0" fontId="131" fillId="0" borderId="0" xfId="0" applyFont="1" applyAlignment="1">
      <alignment horizontal="left" vertical="top"/>
    </xf>
    <xf numFmtId="0" fontId="0" fillId="0" borderId="17" xfId="0" applyBorder="1" applyAlignment="1">
      <alignment horizontal="left" vertical="top"/>
    </xf>
    <xf numFmtId="0" fontId="131" fillId="0" borderId="17" xfId="0" applyFont="1" applyBorder="1" applyAlignment="1">
      <alignment horizontal="center" vertical="center"/>
    </xf>
    <xf numFmtId="0" fontId="131" fillId="0" borderId="17" xfId="0" applyFont="1" applyBorder="1" applyAlignment="1">
      <alignment horizontal="right" vertical="top"/>
    </xf>
    <xf numFmtId="180" fontId="131" fillId="0" borderId="30" xfId="0" applyNumberFormat="1" applyFont="1" applyBorder="1" applyAlignment="1">
      <alignment vertical="center"/>
    </xf>
    <xf numFmtId="0" fontId="103" fillId="0" borderId="14" xfId="0" applyFont="1" applyBorder="1" applyAlignment="1">
      <alignment horizontal="left" vertical="top"/>
    </xf>
    <xf numFmtId="0" fontId="131" fillId="0" borderId="18" xfId="0" applyFont="1" applyBorder="1" applyAlignment="1">
      <alignment horizontal="center" vertical="top"/>
    </xf>
    <xf numFmtId="4" fontId="131" fillId="0" borderId="18" xfId="0" applyNumberFormat="1" applyFont="1" applyBorder="1" applyAlignment="1">
      <alignment horizontal="center" vertical="center"/>
    </xf>
    <xf numFmtId="164" fontId="91" fillId="0" borderId="17" xfId="121" applyNumberFormat="1" applyFont="1" applyBorder="1" applyAlignment="1">
      <alignment vertical="center" wrapText="1"/>
    </xf>
    <xf numFmtId="164" fontId="91" fillId="0" borderId="18" xfId="121" applyNumberFormat="1" applyFont="1" applyBorder="1" applyAlignment="1">
      <alignment vertical="center" wrapText="1"/>
    </xf>
    <xf numFmtId="4" fontId="131" fillId="0" borderId="18" xfId="0" applyNumberFormat="1" applyFont="1" applyBorder="1" applyAlignment="1">
      <alignment horizontal="center" vertical="top"/>
    </xf>
    <xf numFmtId="0" fontId="104" fillId="0" borderId="19" xfId="0" applyFont="1" applyBorder="1" applyAlignment="1">
      <alignment horizontal="center" vertical="center"/>
    </xf>
    <xf numFmtId="0" fontId="91" fillId="0" borderId="75" xfId="121" applyFont="1" applyBorder="1" applyAlignment="1">
      <alignment horizontal="center" vertical="center" wrapText="1"/>
    </xf>
    <xf numFmtId="0" fontId="65" fillId="0" borderId="19" xfId="62" applyFont="1" applyBorder="1" applyAlignment="1">
      <alignment horizontal="center" vertical="center" wrapText="1"/>
    </xf>
    <xf numFmtId="10" fontId="91" fillId="0" borderId="18" xfId="0" applyNumberFormat="1" applyFont="1" applyBorder="1" applyAlignment="1">
      <alignment horizontal="center" vertical="center" wrapText="1"/>
    </xf>
    <xf numFmtId="0" fontId="118" fillId="0" borderId="18" xfId="0" applyFont="1" applyBorder="1" applyAlignment="1">
      <alignment horizontal="center" vertical="center" wrapText="1"/>
    </xf>
    <xf numFmtId="4" fontId="92" fillId="0" borderId="18" xfId="0" applyNumberFormat="1" applyFont="1" applyBorder="1" applyAlignment="1">
      <alignment horizontal="center" vertical="center" wrapText="1"/>
    </xf>
    <xf numFmtId="4" fontId="118" fillId="0" borderId="18" xfId="0" applyNumberFormat="1" applyFont="1" applyBorder="1" applyAlignment="1">
      <alignment horizontal="center" vertical="center" wrapText="1"/>
    </xf>
    <xf numFmtId="10" fontId="119" fillId="0" borderId="18" xfId="0" applyNumberFormat="1" applyFont="1" applyBorder="1" applyAlignment="1">
      <alignment horizontal="center" vertical="center" wrapText="1"/>
    </xf>
    <xf numFmtId="2" fontId="118" fillId="0" borderId="18" xfId="0" applyNumberFormat="1" applyFont="1" applyBorder="1" applyAlignment="1">
      <alignment horizontal="center" vertical="center" wrapText="1"/>
    </xf>
    <xf numFmtId="166" fontId="118" fillId="0" borderId="18" xfId="0" applyNumberFormat="1" applyFont="1" applyBorder="1" applyAlignment="1">
      <alignment horizontal="center" vertical="center" wrapText="1"/>
    </xf>
    <xf numFmtId="166" fontId="94" fillId="0" borderId="18" xfId="0" applyNumberFormat="1" applyFont="1" applyBorder="1" applyAlignment="1">
      <alignment horizontal="center" vertical="center" wrapText="1"/>
    </xf>
    <xf numFmtId="0" fontId="148" fillId="0" borderId="12" xfId="126" applyFont="1" applyBorder="1"/>
    <xf numFmtId="0" fontId="148" fillId="0" borderId="13" xfId="126" applyFont="1" applyBorder="1"/>
    <xf numFmtId="0" fontId="148" fillId="0" borderId="15" xfId="126" applyFont="1" applyBorder="1"/>
    <xf numFmtId="0" fontId="148" fillId="0" borderId="0" xfId="126" applyFont="1"/>
    <xf numFmtId="0" fontId="149" fillId="0" borderId="15" xfId="126" applyFont="1" applyBorder="1" applyAlignment="1">
      <alignment horizontal="center"/>
    </xf>
    <xf numFmtId="0" fontId="149" fillId="0" borderId="0" xfId="126" applyFont="1" applyAlignment="1">
      <alignment horizontal="center"/>
    </xf>
    <xf numFmtId="0" fontId="133" fillId="0" borderId="0" xfId="126" applyFont="1" applyAlignment="1">
      <alignment horizontal="left"/>
    </xf>
    <xf numFmtId="0" fontId="133" fillId="0" borderId="0" xfId="126" applyFont="1" applyAlignment="1">
      <alignment horizontal="center"/>
    </xf>
    <xf numFmtId="0" fontId="134" fillId="0" borderId="0" xfId="126" applyFont="1" applyAlignment="1">
      <alignment horizontal="left"/>
    </xf>
    <xf numFmtId="0" fontId="148" fillId="0" borderId="15" xfId="126" applyFont="1" applyBorder="1" applyAlignment="1">
      <alignment horizontal="left"/>
    </xf>
    <xf numFmtId="0" fontId="148" fillId="0" borderId="0" xfId="126" applyFont="1" applyAlignment="1">
      <alignment horizontal="left"/>
    </xf>
    <xf numFmtId="0" fontId="148" fillId="0" borderId="23" xfId="126" applyFont="1" applyBorder="1"/>
    <xf numFmtId="0" fontId="148" fillId="0" borderId="24" xfId="126" applyFont="1" applyBorder="1"/>
    <xf numFmtId="0" fontId="152" fillId="0" borderId="18" xfId="126" applyFont="1" applyBorder="1" applyAlignment="1">
      <alignment wrapText="1"/>
    </xf>
    <xf numFmtId="2" fontId="152" fillId="0" borderId="18" xfId="126" applyNumberFormat="1" applyFont="1" applyBorder="1" applyAlignment="1">
      <alignment horizontal="center" vertical="center"/>
    </xf>
    <xf numFmtId="167" fontId="65" fillId="0" borderId="18" xfId="1" applyNumberFormat="1" applyFont="1" applyBorder="1" applyAlignment="1">
      <alignment horizontal="center" vertical="center"/>
    </xf>
    <xf numFmtId="0" fontId="65" fillId="0" borderId="17" xfId="1" applyFont="1" applyBorder="1" applyAlignment="1">
      <alignment horizontal="center" vertical="center" wrapText="1"/>
    </xf>
    <xf numFmtId="0" fontId="63" fillId="0" borderId="17" xfId="1" applyFont="1" applyBorder="1" applyAlignment="1">
      <alignment horizontal="center" vertical="center"/>
    </xf>
    <xf numFmtId="167" fontId="65" fillId="0" borderId="17" xfId="1" applyNumberFormat="1" applyFont="1" applyBorder="1" applyAlignment="1">
      <alignment horizontal="center" vertical="center"/>
    </xf>
    <xf numFmtId="0" fontId="66" fillId="0" borderId="15" xfId="1" applyFont="1" applyBorder="1" applyAlignment="1">
      <alignment horizontal="center" vertical="center"/>
    </xf>
    <xf numFmtId="0" fontId="66" fillId="0" borderId="0" xfId="1" applyFont="1" applyAlignment="1">
      <alignment horizontal="center" vertical="center"/>
    </xf>
    <xf numFmtId="0" fontId="91" fillId="0" borderId="18" xfId="0" applyFont="1" applyBorder="1" applyAlignment="1">
      <alignment horizontal="center" vertical="center" wrapText="1"/>
    </xf>
    <xf numFmtId="0" fontId="91" fillId="0" borderId="19" xfId="0" applyFont="1" applyBorder="1" applyAlignment="1">
      <alignment horizontal="center" vertical="center" wrapText="1"/>
    </xf>
    <xf numFmtId="0" fontId="94" fillId="0" borderId="0" xfId="121" applyFont="1" applyAlignment="1">
      <alignment horizontal="center" vertical="center"/>
    </xf>
    <xf numFmtId="0" fontId="91" fillId="0" borderId="0" xfId="121" applyFont="1" applyAlignment="1">
      <alignment horizontal="right" vertical="center"/>
    </xf>
    <xf numFmtId="0" fontId="94" fillId="0" borderId="16" xfId="121" applyFont="1" applyBorder="1" applyAlignment="1">
      <alignment horizontal="center" vertical="center" wrapText="1"/>
    </xf>
    <xf numFmtId="0" fontId="10" fillId="0" borderId="0" xfId="121" applyFont="1" applyAlignment="1">
      <alignment horizontal="left" vertical="center" wrapText="1"/>
    </xf>
    <xf numFmtId="0" fontId="65" fillId="0" borderId="12" xfId="62" applyFont="1" applyBorder="1"/>
    <xf numFmtId="0" fontId="98" fillId="0" borderId="0" xfId="121" applyFont="1" applyAlignment="1">
      <alignment horizontal="center" vertical="center" wrapText="1"/>
    </xf>
    <xf numFmtId="0" fontId="114" fillId="0" borderId="31" xfId="121" applyFont="1" applyBorder="1" applyAlignment="1">
      <alignment horizontal="center" vertical="center" wrapText="1"/>
    </xf>
    <xf numFmtId="0" fontId="114" fillId="0" borderId="0" xfId="121" applyFont="1" applyAlignment="1">
      <alignment horizontal="center" vertical="center" wrapText="1"/>
    </xf>
    <xf numFmtId="0" fontId="65" fillId="0" borderId="12" xfId="62" applyFont="1" applyBorder="1" applyAlignment="1">
      <alignment horizontal="center" vertical="center"/>
    </xf>
    <xf numFmtId="4" fontId="92" fillId="0" borderId="0" xfId="121" applyNumberFormat="1" applyFont="1" applyAlignment="1">
      <alignment vertical="center" wrapText="1"/>
    </xf>
    <xf numFmtId="0" fontId="94" fillId="0" borderId="18" xfId="121" applyFont="1" applyBorder="1" applyAlignment="1">
      <alignment horizontal="right" wrapText="1"/>
    </xf>
    <xf numFmtId="0" fontId="10" fillId="0" borderId="0" xfId="121" applyFont="1" applyAlignment="1">
      <alignment horizontal="center" vertical="center" wrapText="1"/>
    </xf>
    <xf numFmtId="2" fontId="13" fillId="0" borderId="0" xfId="121" applyNumberFormat="1" applyAlignment="1">
      <alignment horizontal="center" vertical="center" wrapText="1"/>
    </xf>
    <xf numFmtId="0" fontId="102" fillId="0" borderId="0" xfId="121" applyFont="1" applyAlignment="1">
      <alignment vertical="center" wrapText="1"/>
    </xf>
    <xf numFmtId="4" fontId="91" fillId="0" borderId="18" xfId="121" applyNumberFormat="1" applyFont="1" applyBorder="1" applyAlignment="1">
      <alignment horizontal="left" vertical="center"/>
    </xf>
    <xf numFmtId="0" fontId="91" fillId="0" borderId="18" xfId="121" applyFont="1" applyBorder="1" applyAlignment="1">
      <alignment horizontal="left"/>
    </xf>
    <xf numFmtId="0" fontId="112" fillId="0" borderId="18" xfId="121" applyFont="1" applyBorder="1" applyAlignment="1">
      <alignment vertical="center" wrapText="1"/>
    </xf>
    <xf numFmtId="0" fontId="13" fillId="0" borderId="17" xfId="121" applyBorder="1" applyAlignment="1">
      <alignment horizontal="center" wrapText="1"/>
    </xf>
    <xf numFmtId="166" fontId="13" fillId="0" borderId="17" xfId="121" applyNumberFormat="1" applyBorder="1" applyAlignment="1">
      <alignment horizontal="center" wrapText="1"/>
    </xf>
    <xf numFmtId="0" fontId="65" fillId="0" borderId="17" xfId="62" applyFont="1" applyBorder="1" applyAlignment="1">
      <alignment horizontal="center" vertical="center"/>
    </xf>
    <xf numFmtId="0" fontId="65" fillId="0" borderId="20" xfId="62" applyFont="1" applyBorder="1" applyAlignment="1">
      <alignment horizontal="center" vertical="center"/>
    </xf>
    <xf numFmtId="0" fontId="65" fillId="0" borderId="17" xfId="62" applyFont="1" applyBorder="1" applyAlignment="1">
      <alignment horizontal="center"/>
    </xf>
    <xf numFmtId="0" fontId="85" fillId="0" borderId="15" xfId="0" applyFont="1" applyBorder="1" applyAlignment="1">
      <alignment horizontal="justify" vertical="center" wrapText="1"/>
    </xf>
    <xf numFmtId="0" fontId="85" fillId="0" borderId="0" xfId="0" applyFont="1" applyAlignment="1">
      <alignment horizontal="justify" vertical="center" wrapText="1"/>
    </xf>
    <xf numFmtId="0" fontId="98" fillId="0" borderId="0" xfId="121" applyFont="1" applyAlignment="1">
      <alignment horizontal="left" vertical="center" wrapText="1"/>
    </xf>
    <xf numFmtId="1" fontId="128" fillId="0" borderId="30" xfId="0" applyNumberFormat="1" applyFont="1" applyBorder="1" applyAlignment="1">
      <alignment horizontal="center" vertical="center" shrinkToFit="1"/>
    </xf>
    <xf numFmtId="2" fontId="131" fillId="0" borderId="30" xfId="0" applyNumberFormat="1" applyFont="1" applyBorder="1" applyAlignment="1">
      <alignment horizontal="center" vertical="center" wrapText="1"/>
    </xf>
    <xf numFmtId="2" fontId="104" fillId="0" borderId="30" xfId="0" applyNumberFormat="1" applyFont="1" applyBorder="1" applyAlignment="1">
      <alignment horizontal="center" vertical="center" wrapText="1"/>
    </xf>
    <xf numFmtId="170" fontId="131" fillId="0" borderId="30" xfId="0" applyNumberFormat="1" applyFont="1" applyBorder="1" applyAlignment="1">
      <alignment horizontal="center" vertical="center" wrapText="1"/>
    </xf>
    <xf numFmtId="170" fontId="104" fillId="0" borderId="30" xfId="0" applyNumberFormat="1" applyFont="1" applyBorder="1" applyAlignment="1">
      <alignment horizontal="center" vertical="center" wrapText="1"/>
    </xf>
    <xf numFmtId="0" fontId="59" fillId="0" borderId="15" xfId="0" applyFont="1" applyBorder="1" applyAlignment="1">
      <alignment horizontal="center" vertical="top" wrapText="1"/>
    </xf>
    <xf numFmtId="0" fontId="59" fillId="0" borderId="0" xfId="0" applyFont="1" applyAlignment="1">
      <alignment horizontal="center" vertical="top" wrapText="1"/>
    </xf>
    <xf numFmtId="0" fontId="70" fillId="0" borderId="18" xfId="0" applyFont="1" applyBorder="1" applyAlignment="1">
      <alignment horizontal="center" vertical="center" wrapText="1"/>
    </xf>
    <xf numFmtId="0" fontId="38" fillId="0" borderId="15" xfId="0" applyFont="1" applyBorder="1" applyAlignment="1">
      <alignment vertical="top" wrapText="1"/>
    </xf>
    <xf numFmtId="0" fontId="38" fillId="0" borderId="0" xfId="0" applyFont="1" applyAlignment="1">
      <alignment vertical="top" wrapText="1"/>
    </xf>
    <xf numFmtId="14" fontId="104" fillId="0" borderId="0" xfId="0" applyNumberFormat="1" applyFont="1"/>
    <xf numFmtId="0" fontId="126" fillId="0" borderId="0" xfId="125" applyFont="1"/>
    <xf numFmtId="0" fontId="96" fillId="0" borderId="30" xfId="125" applyFont="1" applyBorder="1" applyAlignment="1">
      <alignment horizontal="center" vertical="center" wrapText="1"/>
    </xf>
    <xf numFmtId="2" fontId="134" fillId="0" borderId="30" xfId="125" applyNumberFormat="1" applyFont="1" applyBorder="1" applyAlignment="1">
      <alignment horizontal="center" vertical="center"/>
    </xf>
    <xf numFmtId="4" fontId="134" fillId="0" borderId="30" xfId="125" applyNumberFormat="1" applyFont="1" applyBorder="1" applyAlignment="1">
      <alignment horizontal="center" vertical="center"/>
    </xf>
    <xf numFmtId="0" fontId="134" fillId="0" borderId="30" xfId="125" applyFont="1" applyBorder="1" applyAlignment="1">
      <alignment horizontal="center" vertical="center"/>
    </xf>
    <xf numFmtId="0" fontId="65" fillId="0" borderId="30" xfId="62" applyFont="1" applyBorder="1" applyAlignment="1">
      <alignment horizontal="center" vertical="center" wrapText="1"/>
    </xf>
    <xf numFmtId="0" fontId="65" fillId="0" borderId="21" xfId="62" applyFont="1" applyBorder="1" applyAlignment="1">
      <alignment horizontal="center" vertical="center" wrapText="1"/>
    </xf>
    <xf numFmtId="167" fontId="65" fillId="0" borderId="30" xfId="1" applyNumberFormat="1" applyFont="1" applyBorder="1" applyAlignment="1">
      <alignment horizontal="center" vertical="center"/>
    </xf>
    <xf numFmtId="0" fontId="63" fillId="0" borderId="18" xfId="1" applyFont="1" applyBorder="1" applyAlignment="1">
      <alignment vertical="center" wrapText="1"/>
    </xf>
    <xf numFmtId="0" fontId="63" fillId="0" borderId="30" xfId="1" applyFont="1" applyBorder="1" applyAlignment="1">
      <alignment vertical="center" wrapText="1"/>
    </xf>
    <xf numFmtId="0" fontId="66" fillId="0" borderId="16" xfId="1" applyFont="1" applyBorder="1" applyAlignment="1">
      <alignment horizontal="left" vertical="center"/>
    </xf>
    <xf numFmtId="0" fontId="63" fillId="0" borderId="19" xfId="1" applyFont="1" applyBorder="1" applyAlignment="1">
      <alignment vertical="center" wrapText="1"/>
    </xf>
    <xf numFmtId="0" fontId="63" fillId="0" borderId="31" xfId="1" applyFont="1" applyBorder="1" applyAlignment="1">
      <alignment vertical="center" wrapText="1"/>
    </xf>
    <xf numFmtId="0" fontId="65" fillId="0" borderId="22" xfId="62" applyFont="1" applyBorder="1" applyAlignment="1">
      <alignment horizontal="center" vertical="center" wrapText="1"/>
    </xf>
    <xf numFmtId="0" fontId="125" fillId="0" borderId="18" xfId="0" applyFont="1" applyBorder="1" applyAlignment="1">
      <alignment horizontal="center" vertical="center" wrapText="1"/>
    </xf>
    <xf numFmtId="0" fontId="80" fillId="0" borderId="13" xfId="0" applyFont="1" applyBorder="1" applyAlignment="1">
      <alignment horizontal="left" vertical="top"/>
    </xf>
    <xf numFmtId="0" fontId="155" fillId="0" borderId="0" xfId="0" applyFont="1" applyAlignment="1">
      <alignment horizontal="left" vertical="top"/>
    </xf>
    <xf numFmtId="0" fontId="125" fillId="0" borderId="15" xfId="0" applyFont="1" applyBorder="1" applyAlignment="1">
      <alignment horizontal="left" vertical="top"/>
    </xf>
    <xf numFmtId="0" fontId="156" fillId="0" borderId="0" xfId="0" applyFont="1" applyAlignment="1">
      <alignment horizontal="left" vertical="top"/>
    </xf>
    <xf numFmtId="1" fontId="157" fillId="0" borderId="44" xfId="0" applyNumberFormat="1" applyFont="1" applyBorder="1" applyAlignment="1">
      <alignment horizontal="center" vertical="top" shrinkToFit="1"/>
    </xf>
    <xf numFmtId="1" fontId="157" fillId="0" borderId="5" xfId="0" applyNumberFormat="1" applyFont="1" applyBorder="1" applyAlignment="1">
      <alignment horizontal="center" vertical="top" shrinkToFit="1"/>
    </xf>
    <xf numFmtId="1" fontId="157" fillId="0" borderId="7" xfId="0" applyNumberFormat="1" applyFont="1" applyBorder="1" applyAlignment="1">
      <alignment horizontal="center" vertical="top" shrinkToFit="1"/>
    </xf>
    <xf numFmtId="1" fontId="157" fillId="0" borderId="77" xfId="0" applyNumberFormat="1" applyFont="1" applyBorder="1" applyAlignment="1">
      <alignment horizontal="center" vertical="top" shrinkToFit="1"/>
    </xf>
    <xf numFmtId="0" fontId="80" fillId="0" borderId="19" xfId="0" applyFont="1" applyBorder="1" applyAlignment="1">
      <alignment horizontal="left" vertical="top"/>
    </xf>
    <xf numFmtId="0" fontId="80" fillId="0" borderId="46" xfId="0" applyFont="1" applyBorder="1" applyAlignment="1">
      <alignment horizontal="left" wrapText="1"/>
    </xf>
    <xf numFmtId="0" fontId="80" fillId="0" borderId="21" xfId="0" applyFont="1" applyBorder="1" applyAlignment="1">
      <alignment horizontal="center" vertical="center"/>
    </xf>
    <xf numFmtId="0" fontId="80" fillId="0" borderId="50" xfId="0" applyFont="1" applyBorder="1" applyAlignment="1">
      <alignment horizontal="center" vertical="center"/>
    </xf>
    <xf numFmtId="0" fontId="80" fillId="0" borderId="18" xfId="0" applyFont="1" applyBorder="1" applyAlignment="1">
      <alignment horizontal="center" vertical="center"/>
    </xf>
    <xf numFmtId="0" fontId="159" fillId="0" borderId="15" xfId="0" applyFont="1" applyBorder="1" applyAlignment="1">
      <alignment horizontal="left" vertical="top"/>
    </xf>
    <xf numFmtId="0" fontId="80" fillId="0" borderId="24" xfId="0" applyFont="1" applyBorder="1" applyAlignment="1">
      <alignment horizontal="left" vertical="top"/>
    </xf>
    <xf numFmtId="0" fontId="80" fillId="0" borderId="25" xfId="0" applyFont="1" applyBorder="1" applyAlignment="1">
      <alignment horizontal="left" vertical="top"/>
    </xf>
    <xf numFmtId="0" fontId="149" fillId="0" borderId="13" xfId="126" applyFont="1" applyBorder="1"/>
    <xf numFmtId="0" fontId="151" fillId="0" borderId="0" xfId="126" applyFont="1"/>
    <xf numFmtId="0" fontId="149" fillId="0" borderId="0" xfId="126" applyFont="1"/>
    <xf numFmtId="0" fontId="133" fillId="0" borderId="0" xfId="126" applyFont="1"/>
    <xf numFmtId="0" fontId="6" fillId="0" borderId="13" xfId="126" applyBorder="1"/>
    <xf numFmtId="0" fontId="6" fillId="0" borderId="14" xfId="126" applyBorder="1"/>
    <xf numFmtId="0" fontId="6" fillId="0" borderId="16" xfId="126" applyBorder="1"/>
    <xf numFmtId="0" fontId="6" fillId="0" borderId="24" xfId="126" applyBorder="1"/>
    <xf numFmtId="0" fontId="6" fillId="0" borderId="25" xfId="126" applyBorder="1"/>
    <xf numFmtId="0" fontId="0" fillId="0" borderId="76" xfId="0" applyBorder="1" applyAlignment="1">
      <alignment horizontal="left" vertical="top"/>
    </xf>
    <xf numFmtId="0" fontId="126" fillId="0" borderId="0" xfId="121" applyFont="1" applyAlignment="1">
      <alignment wrapText="1"/>
    </xf>
    <xf numFmtId="0" fontId="81" fillId="0" borderId="30" xfId="0" applyFont="1" applyBorder="1" applyAlignment="1">
      <alignment horizontal="center" vertical="center" wrapText="1"/>
    </xf>
    <xf numFmtId="4" fontId="13" fillId="0" borderId="30" xfId="121" applyNumberFormat="1" applyBorder="1" applyAlignment="1">
      <alignment horizontal="center" vertical="center" wrapText="1"/>
    </xf>
    <xf numFmtId="0" fontId="13" fillId="0" borderId="30" xfId="121" applyBorder="1" applyAlignment="1">
      <alignment horizontal="center" vertical="center" wrapText="1"/>
    </xf>
    <xf numFmtId="4" fontId="107" fillId="0" borderId="30" xfId="121" applyNumberFormat="1" applyFont="1" applyBorder="1" applyAlignment="1">
      <alignment horizontal="center" vertical="center" wrapText="1"/>
    </xf>
    <xf numFmtId="4" fontId="127" fillId="0" borderId="30" xfId="121" applyNumberFormat="1" applyFont="1" applyBorder="1" applyAlignment="1">
      <alignment horizontal="center" vertical="center" wrapText="1"/>
    </xf>
    <xf numFmtId="4" fontId="124" fillId="0" borderId="30" xfId="121" applyNumberFormat="1" applyFont="1" applyBorder="1" applyAlignment="1">
      <alignment horizontal="center" vertical="center" wrapText="1"/>
    </xf>
    <xf numFmtId="4" fontId="125" fillId="0" borderId="30" xfId="62" applyNumberFormat="1" applyFont="1" applyBorder="1" applyAlignment="1">
      <alignment horizontal="center" vertical="center"/>
    </xf>
    <xf numFmtId="0" fontId="160" fillId="0" borderId="21" xfId="62" applyFont="1" applyBorder="1" applyAlignment="1">
      <alignment horizontal="center" vertical="center" wrapText="1"/>
    </xf>
    <xf numFmtId="0" fontId="160" fillId="0" borderId="52" xfId="62" applyFont="1" applyBorder="1" applyAlignment="1">
      <alignment horizontal="center" vertical="center" wrapText="1"/>
    </xf>
    <xf numFmtId="0" fontId="160" fillId="0" borderId="22" xfId="62" applyFont="1" applyBorder="1" applyAlignment="1">
      <alignment horizontal="center" vertical="center" wrapText="1"/>
    </xf>
    <xf numFmtId="0" fontId="65" fillId="0" borderId="18" xfId="62" applyFont="1" applyBorder="1"/>
    <xf numFmtId="4" fontId="65" fillId="0" borderId="18" xfId="62" applyNumberFormat="1" applyFont="1" applyBorder="1"/>
    <xf numFmtId="0" fontId="65" fillId="0" borderId="30" xfId="62" applyFont="1" applyBorder="1"/>
    <xf numFmtId="0" fontId="65" fillId="0" borderId="13" xfId="62" applyFont="1" applyBorder="1"/>
    <xf numFmtId="0" fontId="65" fillId="0" borderId="14" xfId="62" applyFont="1" applyBorder="1"/>
    <xf numFmtId="0" fontId="114" fillId="0" borderId="0" xfId="121" applyFont="1" applyAlignment="1">
      <alignment vertical="center" wrapText="1"/>
    </xf>
    <xf numFmtId="0" fontId="114" fillId="0" borderId="54" xfId="121" applyFont="1" applyBorder="1" applyAlignment="1">
      <alignment vertical="center" wrapText="1"/>
    </xf>
    <xf numFmtId="0" fontId="65" fillId="0" borderId="19" xfId="62" applyFont="1" applyBorder="1"/>
    <xf numFmtId="0" fontId="114" fillId="0" borderId="16" xfId="121" applyFont="1" applyBorder="1" applyAlignment="1">
      <alignment vertical="center" wrapText="1"/>
    </xf>
    <xf numFmtId="1" fontId="40" fillId="0" borderId="30" xfId="0" applyNumberFormat="1" applyFont="1" applyBorder="1" applyAlignment="1">
      <alignment horizontal="center" vertical="center" shrinkToFit="1"/>
    </xf>
    <xf numFmtId="0" fontId="161" fillId="0" borderId="15" xfId="0" applyFont="1" applyBorder="1" applyAlignment="1">
      <alignment vertical="center"/>
    </xf>
    <xf numFmtId="0" fontId="161" fillId="0" borderId="0" xfId="0" applyFont="1" applyAlignment="1">
      <alignment vertical="center"/>
    </xf>
    <xf numFmtId="0" fontId="161" fillId="0" borderId="15" xfId="0" applyFont="1" applyBorder="1" applyAlignment="1">
      <alignment horizontal="left" vertical="center"/>
    </xf>
    <xf numFmtId="0" fontId="161" fillId="0" borderId="0" xfId="0" applyFont="1" applyAlignment="1">
      <alignment horizontal="left" vertical="center"/>
    </xf>
    <xf numFmtId="0" fontId="103" fillId="0" borderId="18" xfId="0" applyFont="1" applyBorder="1" applyAlignment="1">
      <alignment horizontal="center" vertical="center" wrapText="1"/>
    </xf>
    <xf numFmtId="0" fontId="103" fillId="0" borderId="30" xfId="0" applyFont="1" applyBorder="1" applyAlignment="1">
      <alignment horizontal="center" vertical="center" wrapText="1"/>
    </xf>
    <xf numFmtId="0" fontId="103" fillId="0" borderId="19" xfId="0" applyFont="1" applyBorder="1" applyAlignment="1">
      <alignment horizontal="center" vertical="center" wrapText="1"/>
    </xf>
    <xf numFmtId="1" fontId="40" fillId="0" borderId="19" xfId="0" applyNumberFormat="1" applyFont="1" applyBorder="1" applyAlignment="1">
      <alignment horizontal="center" vertical="center" shrinkToFit="1"/>
    </xf>
    <xf numFmtId="0" fontId="0" fillId="0" borderId="9" xfId="0" applyBorder="1" applyAlignment="1">
      <alignment horizontal="left" wrapText="1"/>
    </xf>
    <xf numFmtId="0" fontId="45" fillId="0" borderId="18" xfId="0" applyFont="1" applyBorder="1" applyAlignment="1">
      <alignment horizontal="center" vertical="center" wrapText="1"/>
    </xf>
    <xf numFmtId="0" fontId="162" fillId="0" borderId="18" xfId="0" applyFont="1" applyBorder="1" applyAlignment="1">
      <alignment horizontal="center" vertical="center" wrapText="1"/>
    </xf>
    <xf numFmtId="0" fontId="162" fillId="0" borderId="19" xfId="0" applyFont="1" applyBorder="1" applyAlignment="1">
      <alignment horizontal="center" vertical="center" wrapText="1"/>
    </xf>
    <xf numFmtId="0" fontId="163" fillId="0" borderId="15" xfId="0" applyFont="1" applyBorder="1" applyAlignment="1">
      <alignment vertical="center"/>
    </xf>
    <xf numFmtId="0" fontId="163" fillId="0" borderId="15" xfId="0" applyFont="1" applyBorder="1" applyAlignment="1">
      <alignment horizontal="left" vertical="center"/>
    </xf>
    <xf numFmtId="0" fontId="94" fillId="0" borderId="47" xfId="0" applyFont="1" applyBorder="1" applyAlignment="1">
      <alignment vertical="center" wrapText="1"/>
    </xf>
    <xf numFmtId="0" fontId="65" fillId="0" borderId="24" xfId="1" applyFont="1" applyBorder="1" applyAlignment="1">
      <alignment vertical="center"/>
    </xf>
    <xf numFmtId="0" fontId="63" fillId="0" borderId="25" xfId="1" applyFont="1" applyBorder="1" applyAlignment="1">
      <alignment vertical="center"/>
    </xf>
    <xf numFmtId="0" fontId="25" fillId="0" borderId="25" xfId="0" applyFont="1" applyBorder="1" applyAlignment="1">
      <alignment horizontal="center" vertical="center" wrapText="1"/>
    </xf>
    <xf numFmtId="0" fontId="22" fillId="0" borderId="15" xfId="1" applyFont="1" applyBorder="1" applyAlignment="1">
      <alignment horizontal="left" vertical="center"/>
    </xf>
    <xf numFmtId="0" fontId="141" fillId="0" borderId="39" xfId="127" applyFont="1" applyBorder="1" applyAlignment="1">
      <alignment horizontal="center" vertical="center" wrapText="1"/>
    </xf>
    <xf numFmtId="0" fontId="141" fillId="0" borderId="22" xfId="127" applyFont="1" applyBorder="1" applyAlignment="1">
      <alignment horizontal="center" vertical="center" wrapText="1"/>
    </xf>
    <xf numFmtId="0" fontId="80" fillId="0" borderId="40" xfId="127" applyFont="1" applyBorder="1" applyAlignment="1">
      <alignment horizontal="center" vertical="center" wrapText="1"/>
    </xf>
    <xf numFmtId="0" fontId="80" fillId="0" borderId="19" xfId="127" applyFont="1" applyBorder="1" applyAlignment="1">
      <alignment horizontal="center" vertical="center" wrapText="1"/>
    </xf>
    <xf numFmtId="0" fontId="80" fillId="0" borderId="22" xfId="127" applyFont="1" applyBorder="1" applyAlignment="1">
      <alignment horizontal="center" vertical="center" wrapText="1"/>
    </xf>
    <xf numFmtId="0" fontId="103" fillId="0" borderId="15" xfId="0" applyFont="1" applyBorder="1" applyAlignment="1">
      <alignment horizontal="center" vertical="center" wrapText="1"/>
    </xf>
    <xf numFmtId="0" fontId="103" fillId="0" borderId="16" xfId="0" applyFont="1" applyBorder="1" applyAlignment="1">
      <alignment horizontal="center" vertical="center" wrapText="1"/>
    </xf>
    <xf numFmtId="0" fontId="103" fillId="0" borderId="15" xfId="0" applyFont="1" applyBorder="1" applyAlignment="1">
      <alignment horizontal="left" vertical="center" wrapText="1"/>
    </xf>
    <xf numFmtId="0" fontId="103" fillId="0" borderId="16" xfId="0" applyFont="1" applyBorder="1" applyAlignment="1">
      <alignment horizontal="left" vertical="center" wrapText="1"/>
    </xf>
    <xf numFmtId="0" fontId="104" fillId="0" borderId="17" xfId="0" applyFont="1" applyBorder="1" applyAlignment="1">
      <alignment horizontal="left" vertical="center"/>
    </xf>
    <xf numFmtId="2" fontId="91" fillId="0" borderId="18" xfId="121" applyNumberFormat="1" applyFont="1" applyBorder="1" applyAlignment="1">
      <alignment horizontal="center" vertical="center" wrapText="1"/>
    </xf>
    <xf numFmtId="0" fontId="36" fillId="0" borderId="13" xfId="0" applyFont="1" applyBorder="1" applyAlignment="1">
      <alignment horizontal="center" vertical="center"/>
    </xf>
    <xf numFmtId="0" fontId="37" fillId="0" borderId="0" xfId="0" applyFont="1" applyAlignment="1">
      <alignment horizontal="center" vertical="center"/>
    </xf>
    <xf numFmtId="1" fontId="157" fillId="0" borderId="18" xfId="0" applyNumberFormat="1" applyFont="1" applyBorder="1" applyAlignment="1">
      <alignment horizontal="center" vertical="top" shrinkToFit="1"/>
    </xf>
    <xf numFmtId="164" fontId="91" fillId="0" borderId="30" xfId="121" applyNumberFormat="1" applyFont="1" applyBorder="1" applyAlignment="1">
      <alignment vertical="center" wrapText="1"/>
    </xf>
    <xf numFmtId="0" fontId="13" fillId="0" borderId="30" xfId="121" applyBorder="1" applyAlignment="1">
      <alignment wrapText="1"/>
    </xf>
    <xf numFmtId="0" fontId="13" fillId="0" borderId="47" xfId="121" applyBorder="1" applyAlignment="1">
      <alignment wrapText="1"/>
    </xf>
    <xf numFmtId="0" fontId="13" fillId="0" borderId="80" xfId="121" applyBorder="1" applyAlignment="1">
      <alignment wrapText="1"/>
    </xf>
    <xf numFmtId="0" fontId="53" fillId="0" borderId="13" xfId="0" applyFont="1" applyBorder="1" applyAlignment="1">
      <alignment horizontal="center" vertical="center"/>
    </xf>
    <xf numFmtId="0" fontId="80" fillId="0" borderId="0" xfId="0" applyFont="1" applyAlignment="1">
      <alignment horizontal="center" vertical="center"/>
    </xf>
    <xf numFmtId="0" fontId="131" fillId="0" borderId="17" xfId="0" applyFont="1" applyBorder="1" applyAlignment="1">
      <alignment horizontal="left" vertical="center" wrapText="1"/>
    </xf>
    <xf numFmtId="0" fontId="131" fillId="0" borderId="17" xfId="0" applyFont="1" applyBorder="1" applyAlignment="1">
      <alignment horizontal="left" vertical="center"/>
    </xf>
    <xf numFmtId="0" fontId="104" fillId="0" borderId="17" xfId="0" applyFont="1" applyBorder="1" applyAlignment="1">
      <alignment horizontal="left" vertical="center" wrapText="1"/>
    </xf>
    <xf numFmtId="0" fontId="131" fillId="0" borderId="18" xfId="0" applyFont="1" applyBorder="1" applyAlignment="1">
      <alignment horizontal="left" vertical="center"/>
    </xf>
    <xf numFmtId="0" fontId="131" fillId="0" borderId="19" xfId="0" applyFont="1" applyBorder="1" applyAlignment="1">
      <alignment horizontal="left" vertical="center"/>
    </xf>
    <xf numFmtId="0" fontId="131" fillId="0" borderId="17" xfId="0" applyFont="1" applyBorder="1" applyAlignment="1">
      <alignment vertical="center" wrapText="1"/>
    </xf>
    <xf numFmtId="0" fontId="79" fillId="0" borderId="16" xfId="0" applyFont="1" applyBorder="1" applyAlignment="1">
      <alignment horizontal="left" vertical="top"/>
    </xf>
    <xf numFmtId="1" fontId="157" fillId="0" borderId="82" xfId="0" applyNumberFormat="1" applyFont="1" applyBorder="1" applyAlignment="1">
      <alignment horizontal="center" vertical="top" shrinkToFit="1"/>
    </xf>
    <xf numFmtId="0" fontId="164" fillId="0" borderId="0" xfId="121" applyFont="1" applyAlignment="1">
      <alignment horizontal="center" wrapText="1"/>
    </xf>
    <xf numFmtId="4" fontId="91" fillId="0" borderId="34" xfId="121" applyNumberFormat="1" applyFont="1" applyBorder="1" applyAlignment="1">
      <alignment vertical="center" wrapText="1"/>
    </xf>
    <xf numFmtId="164" fontId="91" fillId="0" borderId="37" xfId="121" applyNumberFormat="1" applyFont="1" applyBorder="1" applyAlignment="1">
      <alignment horizontal="center" vertical="center" wrapText="1"/>
    </xf>
    <xf numFmtId="0" fontId="92" fillId="0" borderId="35" xfId="121" applyFont="1" applyBorder="1" applyAlignment="1">
      <alignment vertical="center" wrapText="1"/>
    </xf>
    <xf numFmtId="0" fontId="87" fillId="0" borderId="15" xfId="0" applyFont="1" applyBorder="1" applyAlignment="1">
      <alignment horizontal="center" vertical="center"/>
    </xf>
    <xf numFmtId="0" fontId="103" fillId="0" borderId="18" xfId="0" applyFont="1" applyBorder="1" applyAlignment="1">
      <alignment horizontal="center" vertical="center"/>
    </xf>
    <xf numFmtId="0" fontId="87" fillId="0" borderId="17" xfId="0" applyFont="1" applyBorder="1" applyAlignment="1">
      <alignment horizontal="center" vertical="center"/>
    </xf>
    <xf numFmtId="0" fontId="165" fillId="0" borderId="18" xfId="0" applyFont="1" applyBorder="1" applyAlignment="1">
      <alignment horizontal="center" vertical="center" wrapText="1"/>
    </xf>
    <xf numFmtId="4" fontId="115" fillId="0" borderId="18" xfId="0" applyNumberFormat="1" applyFont="1" applyBorder="1" applyAlignment="1">
      <alignment horizontal="center" vertical="center" wrapText="1"/>
    </xf>
    <xf numFmtId="10" fontId="115" fillId="0" borderId="18" xfId="124" applyNumberFormat="1" applyFont="1" applyBorder="1" applyAlignment="1">
      <alignment horizontal="center" vertical="center" wrapText="1"/>
    </xf>
    <xf numFmtId="0" fontId="135" fillId="0" borderId="0" xfId="0" applyFont="1" applyAlignment="1">
      <alignment horizontal="center" vertical="center"/>
    </xf>
    <xf numFmtId="0" fontId="108" fillId="0" borderId="0" xfId="0" applyFont="1" applyAlignment="1">
      <alignment horizontal="center" vertical="center"/>
    </xf>
    <xf numFmtId="0" fontId="91" fillId="0" borderId="17" xfId="121" applyFont="1" applyBorder="1" applyAlignment="1">
      <alignment vertical="center" wrapText="1"/>
    </xf>
    <xf numFmtId="3" fontId="131" fillId="0" borderId="18" xfId="0" applyNumberFormat="1" applyFont="1" applyBorder="1" applyAlignment="1">
      <alignment horizontal="center" vertical="center"/>
    </xf>
    <xf numFmtId="3" fontId="131" fillId="0" borderId="19" xfId="0" applyNumberFormat="1" applyFont="1" applyBorder="1" applyAlignment="1">
      <alignment horizontal="center" vertical="center"/>
    </xf>
    <xf numFmtId="0" fontId="103" fillId="0" borderId="0" xfId="0" applyFont="1" applyAlignment="1">
      <alignment horizontal="left" vertical="center"/>
    </xf>
    <xf numFmtId="0" fontId="24" fillId="0" borderId="44" xfId="0" applyFont="1" applyBorder="1" applyAlignment="1">
      <alignment horizontal="left" vertical="center" wrapText="1"/>
    </xf>
    <xf numFmtId="0" fontId="119" fillId="0" borderId="18" xfId="0" applyFont="1" applyBorder="1" applyAlignment="1">
      <alignment horizontal="center" vertical="center" wrapText="1"/>
    </xf>
    <xf numFmtId="0" fontId="103" fillId="0" borderId="0" xfId="0" applyFont="1" applyAlignment="1">
      <alignment horizontal="right" vertical="center"/>
    </xf>
    <xf numFmtId="0" fontId="80" fillId="0" borderId="44" xfId="127" applyFont="1" applyBorder="1" applyAlignment="1">
      <alignment horizontal="center" vertical="center" wrapText="1"/>
    </xf>
    <xf numFmtId="0" fontId="25" fillId="0" borderId="70" xfId="127" applyFont="1" applyBorder="1" applyAlignment="1">
      <alignment horizontal="center" vertical="center" wrapText="1"/>
    </xf>
    <xf numFmtId="0" fontId="25" fillId="0" borderId="73" xfId="127" applyFont="1" applyBorder="1" applyAlignment="1">
      <alignment horizontal="center" vertical="center" wrapText="1"/>
    </xf>
    <xf numFmtId="0" fontId="25" fillId="0" borderId="17" xfId="127" applyFont="1" applyBorder="1" applyAlignment="1">
      <alignment horizontal="center" vertical="center" wrapText="1"/>
    </xf>
    <xf numFmtId="0" fontId="25" fillId="0" borderId="18" xfId="127" applyFont="1" applyBorder="1" applyAlignment="1">
      <alignment horizontal="center" vertical="center" wrapText="1"/>
    </xf>
    <xf numFmtId="1" fontId="35" fillId="0" borderId="43" xfId="127" applyNumberFormat="1" applyFont="1" applyBorder="1" applyAlignment="1">
      <alignment horizontal="center" vertical="center" shrinkToFit="1"/>
    </xf>
    <xf numFmtId="1" fontId="35" fillId="0" borderId="73" xfId="127" applyNumberFormat="1" applyFont="1" applyBorder="1" applyAlignment="1">
      <alignment horizontal="center" vertical="center" shrinkToFit="1"/>
    </xf>
    <xf numFmtId="1" fontId="35" fillId="0" borderId="17" xfId="127" applyNumberFormat="1" applyFont="1" applyBorder="1" applyAlignment="1">
      <alignment horizontal="center" vertical="center" shrinkToFit="1"/>
    </xf>
    <xf numFmtId="1" fontId="35" fillId="0" borderId="44" xfId="127" applyNumberFormat="1" applyFont="1" applyBorder="1" applyAlignment="1">
      <alignment horizontal="center" vertical="center" shrinkToFit="1"/>
    </xf>
    <xf numFmtId="1" fontId="153" fillId="0" borderId="17" xfId="0" applyNumberFormat="1" applyFont="1" applyBorder="1" applyAlignment="1">
      <alignment horizontal="center" vertical="center" shrinkToFit="1"/>
    </xf>
    <xf numFmtId="1" fontId="154" fillId="0" borderId="17" xfId="0" applyNumberFormat="1" applyFont="1" applyBorder="1" applyAlignment="1">
      <alignment horizontal="center" vertical="center" shrinkToFit="1"/>
    </xf>
    <xf numFmtId="0" fontId="87" fillId="0" borderId="17" xfId="0" applyFont="1" applyBorder="1" applyAlignment="1">
      <alignment horizontal="center" vertical="center" wrapText="1"/>
    </xf>
    <xf numFmtId="166" fontId="153" fillId="0" borderId="17" xfId="0" applyNumberFormat="1" applyFont="1" applyBorder="1" applyAlignment="1">
      <alignment horizontal="center" vertical="center" shrinkToFit="1"/>
    </xf>
    <xf numFmtId="166" fontId="115" fillId="0" borderId="17" xfId="0" applyNumberFormat="1" applyFont="1" applyBorder="1" applyAlignment="1">
      <alignment horizontal="center" vertical="center" shrinkToFit="1"/>
    </xf>
    <xf numFmtId="0" fontId="53" fillId="0" borderId="18" xfId="0" applyFont="1" applyBorder="1" applyAlignment="1">
      <alignment horizontal="right" vertical="center"/>
    </xf>
    <xf numFmtId="0" fontId="80" fillId="0" borderId="18" xfId="0" applyFont="1" applyBorder="1" applyAlignment="1">
      <alignment horizontal="left" vertical="center"/>
    </xf>
    <xf numFmtId="0" fontId="74" fillId="0" borderId="18" xfId="0" applyFont="1" applyBorder="1" applyAlignment="1">
      <alignment horizontal="left" vertical="center"/>
    </xf>
    <xf numFmtId="0" fontId="80" fillId="0" borderId="18" xfId="0" applyFont="1" applyBorder="1" applyAlignment="1">
      <alignment horizontal="left" vertical="center" wrapText="1"/>
    </xf>
    <xf numFmtId="0" fontId="87" fillId="0" borderId="15" xfId="0" applyFont="1" applyBorder="1" applyAlignment="1">
      <alignment wrapText="1"/>
    </xf>
    <xf numFmtId="0" fontId="131" fillId="0" borderId="19" xfId="0" applyFont="1" applyBorder="1" applyAlignment="1">
      <alignment horizontal="center" vertical="center" wrapText="1"/>
    </xf>
    <xf numFmtId="4" fontId="131" fillId="0" borderId="19" xfId="0" applyNumberFormat="1" applyFont="1" applyBorder="1" applyAlignment="1">
      <alignment horizontal="center" vertical="center"/>
    </xf>
    <xf numFmtId="0" fontId="127" fillId="0" borderId="0" xfId="121" applyFont="1" applyAlignment="1">
      <alignment vertical="center" wrapText="1"/>
    </xf>
    <xf numFmtId="0" fontId="85" fillId="0" borderId="12" xfId="0" applyFont="1" applyBorder="1" applyAlignment="1">
      <alignment horizontal="left" vertical="top"/>
    </xf>
    <xf numFmtId="0" fontId="85" fillId="0" borderId="13" xfId="0" applyFont="1" applyBorder="1" applyAlignment="1">
      <alignment horizontal="left" vertical="top"/>
    </xf>
    <xf numFmtId="44" fontId="36" fillId="0" borderId="14" xfId="0" applyNumberFormat="1" applyFont="1" applyBorder="1" applyAlignment="1">
      <alignment horizontal="center" vertical="center"/>
    </xf>
    <xf numFmtId="0" fontId="36" fillId="0" borderId="16" xfId="0" applyFont="1" applyBorder="1" applyAlignment="1">
      <alignment horizontal="center" vertical="center"/>
    </xf>
    <xf numFmtId="0" fontId="36" fillId="0" borderId="15" xfId="0" applyFont="1" applyBorder="1" applyAlignment="1">
      <alignment horizontal="left" vertical="top"/>
    </xf>
    <xf numFmtId="0" fontId="36" fillId="0" borderId="16" xfId="0" applyFont="1" applyBorder="1" applyAlignment="1">
      <alignment horizontal="left" vertical="top"/>
    </xf>
    <xf numFmtId="0" fontId="85" fillId="0" borderId="16" xfId="0" applyFont="1" applyBorder="1" applyAlignment="1">
      <alignment horizontal="left" vertical="top"/>
    </xf>
    <xf numFmtId="0" fontId="38" fillId="0" borderId="16" xfId="0" applyFont="1" applyBorder="1" applyAlignment="1">
      <alignment horizontal="left" vertical="top"/>
    </xf>
    <xf numFmtId="0" fontId="36" fillId="0" borderId="7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5" xfId="0" applyFont="1" applyBorder="1" applyAlignment="1">
      <alignment horizontal="center" vertical="center" wrapText="1"/>
    </xf>
    <xf numFmtId="1" fontId="39" fillId="0" borderId="70" xfId="0" applyNumberFormat="1" applyFont="1" applyBorder="1" applyAlignment="1">
      <alignment horizontal="center" vertical="center" shrinkToFit="1"/>
    </xf>
    <xf numFmtId="1" fontId="39" fillId="0" borderId="1" xfId="0" applyNumberFormat="1" applyFont="1" applyBorder="1" applyAlignment="1">
      <alignment horizontal="center" vertical="center" shrinkToFit="1"/>
    </xf>
    <xf numFmtId="1" fontId="39" fillId="0" borderId="2" xfId="0" applyNumberFormat="1" applyFont="1" applyBorder="1" applyAlignment="1">
      <alignment horizontal="center" vertical="center" shrinkToFit="1"/>
    </xf>
    <xf numFmtId="1" fontId="39" fillId="0" borderId="45" xfId="0" applyNumberFormat="1" applyFont="1" applyBorder="1" applyAlignment="1">
      <alignment horizontal="center" vertical="center" shrinkToFit="1"/>
    </xf>
    <xf numFmtId="0" fontId="85" fillId="0" borderId="70" xfId="0" applyFont="1" applyBorder="1" applyAlignment="1">
      <alignment horizontal="center" vertical="center" wrapText="1"/>
    </xf>
    <xf numFmtId="0" fontId="85" fillId="0" borderId="1" xfId="0" applyFont="1" applyBorder="1" applyAlignment="1">
      <alignment horizontal="center" vertical="center" wrapText="1"/>
    </xf>
    <xf numFmtId="0" fontId="85" fillId="0" borderId="2" xfId="0" applyFont="1" applyBorder="1" applyAlignment="1">
      <alignment horizontal="center" vertical="center" wrapText="1"/>
    </xf>
    <xf numFmtId="0" fontId="85" fillId="0" borderId="45" xfId="0" applyFont="1" applyBorder="1" applyAlignment="1">
      <alignment horizontal="center" vertical="center" wrapText="1"/>
    </xf>
    <xf numFmtId="3" fontId="85" fillId="0" borderId="18" xfId="0" applyNumberFormat="1" applyFont="1" applyBorder="1" applyAlignment="1">
      <alignment horizontal="center" vertical="center"/>
    </xf>
    <xf numFmtId="3" fontId="85" fillId="0" borderId="19" xfId="0" applyNumberFormat="1" applyFont="1" applyBorder="1" applyAlignment="1">
      <alignment horizontal="center" vertical="center"/>
    </xf>
    <xf numFmtId="4" fontId="85" fillId="0" borderId="18" xfId="0" applyNumberFormat="1" applyFont="1" applyBorder="1" applyAlignment="1">
      <alignment horizontal="center" vertical="center"/>
    </xf>
    <xf numFmtId="2" fontId="85" fillId="0" borderId="19" xfId="0" applyNumberFormat="1" applyFont="1" applyBorder="1" applyAlignment="1">
      <alignment horizontal="center" vertical="center"/>
    </xf>
    <xf numFmtId="10" fontId="85" fillId="0" borderId="18" xfId="0" applyNumberFormat="1" applyFont="1" applyBorder="1" applyAlignment="1">
      <alignment horizontal="center" vertical="center"/>
    </xf>
    <xf numFmtId="10" fontId="85" fillId="0" borderId="19" xfId="0" applyNumberFormat="1" applyFont="1" applyBorder="1" applyAlignment="1">
      <alignment horizontal="center" vertical="center"/>
    </xf>
    <xf numFmtId="17" fontId="85" fillId="0" borderId="18" xfId="0" applyNumberFormat="1" applyFont="1" applyBorder="1" applyAlignment="1">
      <alignment horizontal="center" vertical="center"/>
    </xf>
    <xf numFmtId="17" fontId="85" fillId="0" borderId="19" xfId="0" applyNumberFormat="1" applyFont="1" applyBorder="1" applyAlignment="1">
      <alignment horizontal="center" vertical="center"/>
    </xf>
    <xf numFmtId="2" fontId="85" fillId="0" borderId="1" xfId="0" applyNumberFormat="1" applyFont="1" applyBorder="1" applyAlignment="1">
      <alignment horizontal="center" vertical="center" wrapText="1"/>
    </xf>
    <xf numFmtId="2" fontId="85" fillId="0" borderId="45" xfId="0" applyNumberFormat="1" applyFont="1" applyBorder="1" applyAlignment="1">
      <alignment horizontal="center" vertical="center" wrapText="1"/>
    </xf>
    <xf numFmtId="0" fontId="85" fillId="0" borderId="70" xfId="0" applyFont="1" applyBorder="1" applyAlignment="1">
      <alignment horizontal="left" vertical="center" wrapText="1"/>
    </xf>
    <xf numFmtId="0" fontId="38" fillId="0" borderId="70" xfId="0" applyFont="1" applyBorder="1" applyAlignment="1">
      <alignment horizontal="left" vertical="center" wrapText="1"/>
    </xf>
    <xf numFmtId="0" fontId="126" fillId="0" borderId="17" xfId="125" applyFont="1" applyBorder="1" applyAlignment="1">
      <alignment horizontal="center" vertical="center"/>
    </xf>
    <xf numFmtId="0" fontId="126" fillId="0" borderId="18" xfId="125" applyFont="1" applyBorder="1" applyAlignment="1">
      <alignment horizontal="center" vertical="center" wrapText="1"/>
    </xf>
    <xf numFmtId="0" fontId="126" fillId="0" borderId="30" xfId="125" applyFont="1" applyBorder="1" applyAlignment="1">
      <alignment horizontal="center" vertical="center" wrapText="1"/>
    </xf>
    <xf numFmtId="0" fontId="126" fillId="0" borderId="38" xfId="125" applyFont="1" applyBorder="1" applyAlignment="1">
      <alignment horizontal="center" vertical="center" wrapText="1"/>
    </xf>
    <xf numFmtId="0" fontId="126" fillId="0" borderId="19" xfId="125" applyFont="1" applyBorder="1" applyAlignment="1">
      <alignment horizontal="center" vertical="center" wrapText="1"/>
    </xf>
    <xf numFmtId="0" fontId="132" fillId="0" borderId="12" xfId="125" applyFont="1" applyBorder="1"/>
    <xf numFmtId="0" fontId="132" fillId="0" borderId="13" xfId="125" applyFont="1" applyBorder="1"/>
    <xf numFmtId="0" fontId="126" fillId="0" borderId="13" xfId="125" applyFont="1" applyBorder="1"/>
    <xf numFmtId="0" fontId="132" fillId="0" borderId="14" xfId="125" applyFont="1" applyBorder="1"/>
    <xf numFmtId="0" fontId="132" fillId="0" borderId="15" xfId="125" applyFont="1" applyBorder="1"/>
    <xf numFmtId="0" fontId="132" fillId="0" borderId="16" xfId="125" applyFont="1" applyBorder="1"/>
    <xf numFmtId="0" fontId="126" fillId="0" borderId="15" xfId="125" applyFont="1" applyBorder="1"/>
    <xf numFmtId="0" fontId="126" fillId="0" borderId="17" xfId="125" applyFont="1" applyBorder="1" applyAlignment="1">
      <alignment horizontal="center"/>
    </xf>
    <xf numFmtId="0" fontId="126" fillId="0" borderId="18" xfId="125" applyFont="1" applyBorder="1" applyAlignment="1">
      <alignment horizontal="center"/>
    </xf>
    <xf numFmtId="0" fontId="126" fillId="0" borderId="30" xfId="125" applyFont="1" applyBorder="1" applyAlignment="1">
      <alignment horizontal="center"/>
    </xf>
    <xf numFmtId="0" fontId="126" fillId="0" borderId="19" xfId="125" applyFont="1" applyBorder="1" applyAlignment="1">
      <alignment horizontal="center"/>
    </xf>
    <xf numFmtId="0" fontId="132" fillId="0" borderId="18" xfId="125" applyFont="1" applyBorder="1"/>
    <xf numFmtId="0" fontId="132" fillId="0" borderId="30" xfId="125" applyFont="1" applyBorder="1"/>
    <xf numFmtId="0" fontId="132" fillId="0" borderId="19" xfId="125" applyFont="1" applyBorder="1"/>
    <xf numFmtId="0" fontId="167" fillId="0" borderId="17" xfId="125" applyFont="1" applyBorder="1" applyAlignment="1">
      <alignment horizontal="left"/>
    </xf>
    <xf numFmtId="0" fontId="167" fillId="0" borderId="18" xfId="125" applyFont="1" applyBorder="1" applyAlignment="1">
      <alignment horizontal="center"/>
    </xf>
    <xf numFmtId="0" fontId="167" fillId="0" borderId="30" xfId="125" applyFont="1" applyBorder="1" applyAlignment="1">
      <alignment horizontal="center"/>
    </xf>
    <xf numFmtId="2" fontId="167" fillId="0" borderId="18" xfId="125" applyNumberFormat="1" applyFont="1" applyBorder="1" applyAlignment="1">
      <alignment horizontal="center" vertical="center"/>
    </xf>
    <xf numFmtId="2" fontId="167" fillId="0" borderId="30" xfId="125" applyNumberFormat="1" applyFont="1" applyBorder="1" applyAlignment="1">
      <alignment horizontal="center" vertical="center"/>
    </xf>
    <xf numFmtId="10" fontId="167" fillId="0" borderId="18" xfId="124" applyNumberFormat="1" applyFont="1" applyBorder="1" applyAlignment="1">
      <alignment horizontal="center" vertical="center"/>
    </xf>
    <xf numFmtId="10" fontId="167" fillId="0" borderId="30" xfId="124" applyNumberFormat="1" applyFont="1" applyBorder="1" applyAlignment="1">
      <alignment horizontal="center" vertical="center"/>
    </xf>
    <xf numFmtId="0" fontId="132" fillId="0" borderId="17" xfId="125" applyFont="1" applyBorder="1"/>
    <xf numFmtId="0" fontId="126" fillId="0" borderId="17" xfId="125" applyFont="1" applyBorder="1"/>
    <xf numFmtId="2" fontId="126" fillId="0" borderId="18" xfId="125" applyNumberFormat="1" applyFont="1" applyBorder="1" applyAlignment="1">
      <alignment horizontal="center" vertical="center"/>
    </xf>
    <xf numFmtId="2" fontId="126" fillId="0" borderId="30" xfId="125" applyNumberFormat="1" applyFont="1" applyBorder="1" applyAlignment="1">
      <alignment horizontal="center" vertical="center"/>
    </xf>
    <xf numFmtId="0" fontId="132" fillId="0" borderId="20" xfId="125" applyFont="1" applyBorder="1" applyAlignment="1">
      <alignment vertical="center" wrapText="1"/>
    </xf>
    <xf numFmtId="2" fontId="126" fillId="0" borderId="21" xfId="125" applyNumberFormat="1" applyFont="1" applyBorder="1" applyAlignment="1">
      <alignment horizontal="center" vertical="center"/>
    </xf>
    <xf numFmtId="0" fontId="126" fillId="0" borderId="33" xfId="125" applyFont="1" applyBorder="1" applyAlignment="1">
      <alignment vertical="center" wrapText="1"/>
    </xf>
    <xf numFmtId="2" fontId="126" fillId="0" borderId="34" xfId="125" applyNumberFormat="1" applyFont="1" applyBorder="1" applyAlignment="1">
      <alignment horizontal="center" vertical="center"/>
    </xf>
    <xf numFmtId="0" fontId="132" fillId="0" borderId="15" xfId="125" applyFont="1" applyBorder="1" applyAlignment="1">
      <alignment horizontal="left"/>
    </xf>
    <xf numFmtId="0" fontId="132" fillId="0" borderId="0" xfId="125" applyFont="1" applyAlignment="1">
      <alignment horizontal="left"/>
    </xf>
    <xf numFmtId="0" fontId="132" fillId="0" borderId="23" xfId="125" applyFont="1" applyBorder="1"/>
    <xf numFmtId="0" fontId="132" fillId="0" borderId="24" xfId="125" applyFont="1" applyBorder="1"/>
    <xf numFmtId="0" fontId="132" fillId="0" borderId="25" xfId="125" applyFont="1" applyBorder="1"/>
    <xf numFmtId="0" fontId="167" fillId="0" borderId="17" xfId="125" applyFont="1" applyBorder="1" applyAlignment="1">
      <alignment horizontal="left" wrapText="1"/>
    </xf>
    <xf numFmtId="0" fontId="132" fillId="0" borderId="17" xfId="125" applyFont="1" applyBorder="1" applyAlignment="1">
      <alignment vertical="center"/>
    </xf>
    <xf numFmtId="0" fontId="94" fillId="0" borderId="15" xfId="0" applyFont="1" applyBorder="1" applyAlignment="1">
      <alignment horizontal="center" vertical="center" wrapText="1"/>
    </xf>
    <xf numFmtId="0" fontId="0" fillId="0" borderId="18" xfId="0"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16" xfId="0"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0" fillId="0" borderId="12" xfId="0" applyBorder="1" applyAlignment="1">
      <alignment horizontal="center" vertical="top"/>
    </xf>
    <xf numFmtId="0" fontId="0" fillId="0" borderId="15" xfId="0" applyBorder="1" applyAlignment="1">
      <alignment horizontal="center" vertical="top"/>
    </xf>
    <xf numFmtId="0" fontId="95" fillId="0" borderId="15" xfId="0" applyFont="1" applyBorder="1" applyAlignment="1">
      <alignment horizontal="center" vertical="center"/>
    </xf>
    <xf numFmtId="0" fontId="95" fillId="0" borderId="23" xfId="0" applyFont="1" applyBorder="1" applyAlignment="1">
      <alignment horizontal="center" vertical="center"/>
    </xf>
    <xf numFmtId="0" fontId="81" fillId="0" borderId="0" xfId="0" applyFont="1" applyAlignment="1">
      <alignment horizontal="left" vertical="center"/>
    </xf>
    <xf numFmtId="0" fontId="88" fillId="0" borderId="13" xfId="0" applyFont="1" applyBorder="1" applyAlignment="1">
      <alignment horizontal="left" vertical="center"/>
    </xf>
    <xf numFmtId="0" fontId="88" fillId="0" borderId="0" xfId="0" applyFont="1" applyAlignment="1">
      <alignment horizontal="left" vertical="center"/>
    </xf>
    <xf numFmtId="0" fontId="114" fillId="0" borderId="12" xfId="125" applyFont="1" applyBorder="1" applyAlignment="1">
      <alignment vertical="center"/>
    </xf>
    <xf numFmtId="0" fontId="114" fillId="0" borderId="13" xfId="125" applyFont="1" applyBorder="1" applyAlignment="1">
      <alignment vertical="center"/>
    </xf>
    <xf numFmtId="0" fontId="0" fillId="0" borderId="13" xfId="0" applyBorder="1" applyAlignment="1">
      <alignment horizontal="left" vertical="center"/>
    </xf>
    <xf numFmtId="0" fontId="0" fillId="0" borderId="14" xfId="0" applyBorder="1" applyAlignment="1">
      <alignment horizontal="left" vertical="center"/>
    </xf>
    <xf numFmtId="0" fontId="114" fillId="0" borderId="15" xfId="125" applyFont="1" applyBorder="1" applyAlignment="1">
      <alignment vertical="center"/>
    </xf>
    <xf numFmtId="0" fontId="114" fillId="0" borderId="0" xfId="125" applyFont="1" applyAlignment="1">
      <alignment vertical="center"/>
    </xf>
    <xf numFmtId="0" fontId="96" fillId="0" borderId="15" xfId="125" applyFont="1" applyBorder="1" applyAlignment="1">
      <alignment vertical="center"/>
    </xf>
    <xf numFmtId="0" fontId="96" fillId="0" borderId="18" xfId="125" applyFont="1" applyBorder="1" applyAlignment="1">
      <alignment horizontal="center" vertical="center"/>
    </xf>
    <xf numFmtId="0" fontId="96" fillId="0" borderId="30" xfId="125" applyFont="1" applyBorder="1" applyAlignment="1">
      <alignment horizontal="center" vertical="center"/>
    </xf>
    <xf numFmtId="0" fontId="96" fillId="0" borderId="19" xfId="125" applyFont="1" applyBorder="1" applyAlignment="1">
      <alignment horizontal="center" vertical="center"/>
    </xf>
    <xf numFmtId="0" fontId="133" fillId="0" borderId="17" xfId="125" applyFont="1" applyBorder="1" applyAlignment="1">
      <alignment horizontal="center" vertical="center"/>
    </xf>
    <xf numFmtId="0" fontId="133" fillId="0" borderId="18" xfId="125" applyFont="1" applyBorder="1" applyAlignment="1">
      <alignment horizontal="center" vertical="center"/>
    </xf>
    <xf numFmtId="0" fontId="133" fillId="0" borderId="30" xfId="125" applyFont="1" applyBorder="1" applyAlignment="1">
      <alignment horizontal="center" vertical="center"/>
    </xf>
    <xf numFmtId="0" fontId="0" fillId="0" borderId="30" xfId="0" applyBorder="1" applyAlignment="1">
      <alignment horizontal="left" vertical="center"/>
    </xf>
    <xf numFmtId="0" fontId="133" fillId="0" borderId="17" xfId="125" applyFont="1" applyBorder="1" applyAlignment="1">
      <alignment vertical="center"/>
    </xf>
    <xf numFmtId="0" fontId="134" fillId="0" borderId="18" xfId="125" applyFont="1" applyBorder="1" applyAlignment="1">
      <alignment vertical="center"/>
    </xf>
    <xf numFmtId="0" fontId="134" fillId="0" borderId="30" xfId="125" applyFont="1" applyBorder="1" applyAlignment="1">
      <alignment vertical="center"/>
    </xf>
    <xf numFmtId="0" fontId="134" fillId="0" borderId="17" xfId="125" applyFont="1" applyBorder="1" applyAlignment="1">
      <alignment vertical="center" wrapText="1"/>
    </xf>
    <xf numFmtId="0" fontId="133" fillId="0" borderId="17" xfId="125" applyFont="1" applyBorder="1" applyAlignment="1">
      <alignment vertical="center" wrapText="1"/>
    </xf>
    <xf numFmtId="0" fontId="134" fillId="0" borderId="15" xfId="125" applyFont="1" applyBorder="1" applyAlignment="1">
      <alignment vertical="center"/>
    </xf>
    <xf numFmtId="0" fontId="134" fillId="0" borderId="0" xfId="125" applyFont="1" applyAlignment="1">
      <alignment vertical="center"/>
    </xf>
    <xf numFmtId="0" fontId="114" fillId="0" borderId="15" xfId="125" applyFont="1" applyBorder="1" applyAlignment="1">
      <alignment horizontal="left" vertical="center"/>
    </xf>
    <xf numFmtId="0" fontId="114" fillId="0" borderId="0" xfId="125" applyFont="1" applyAlignment="1">
      <alignment horizontal="left" vertical="center"/>
    </xf>
    <xf numFmtId="2" fontId="114" fillId="0" borderId="0" xfId="125" applyNumberFormat="1" applyFont="1" applyAlignment="1">
      <alignment vertical="center"/>
    </xf>
    <xf numFmtId="0" fontId="126" fillId="0" borderId="0" xfId="125" applyFont="1" applyAlignment="1">
      <alignment vertical="center"/>
    </xf>
    <xf numFmtId="0" fontId="114" fillId="0" borderId="23" xfId="125" applyFont="1" applyBorder="1" applyAlignment="1">
      <alignment vertical="center"/>
    </xf>
    <xf numFmtId="0" fontId="114" fillId="0" borderId="24" xfId="125" applyFont="1" applyBorder="1" applyAlignment="1">
      <alignment vertical="center"/>
    </xf>
    <xf numFmtId="0" fontId="65" fillId="0" borderId="18" xfId="1" applyFont="1" applyBorder="1" applyAlignment="1">
      <alignment horizontal="right" vertical="center" wrapText="1"/>
    </xf>
    <xf numFmtId="167" fontId="65" fillId="0" borderId="17" xfId="1" applyNumberFormat="1" applyFont="1" applyBorder="1" applyAlignment="1">
      <alignment horizontal="left" vertical="center"/>
    </xf>
    <xf numFmtId="0" fontId="63" fillId="0" borderId="18" xfId="1" applyFont="1" applyBorder="1" applyAlignment="1">
      <alignment horizontal="left" vertical="center" wrapText="1"/>
    </xf>
    <xf numFmtId="2" fontId="63" fillId="0" borderId="18" xfId="1" applyNumberFormat="1" applyFont="1" applyBorder="1" applyAlignment="1">
      <alignment horizontal="right" vertical="center"/>
    </xf>
    <xf numFmtId="2" fontId="63" fillId="0" borderId="30" xfId="1" applyNumberFormat="1" applyFont="1" applyBorder="1" applyAlignment="1">
      <alignment horizontal="right" vertical="center"/>
    </xf>
    <xf numFmtId="0" fontId="65" fillId="0" borderId="18" xfId="1" applyFont="1" applyBorder="1" applyAlignment="1">
      <alignment horizontal="left" vertical="center" wrapText="1"/>
    </xf>
    <xf numFmtId="10" fontId="63" fillId="0" borderId="18" xfId="3" applyNumberFormat="1" applyFont="1" applyBorder="1" applyAlignment="1">
      <alignment horizontal="right" vertical="center"/>
    </xf>
    <xf numFmtId="10" fontId="63" fillId="0" borderId="30" xfId="3" applyNumberFormat="1" applyFont="1" applyBorder="1" applyAlignment="1">
      <alignment horizontal="right" vertical="center"/>
    </xf>
    <xf numFmtId="2" fontId="65" fillId="0" borderId="18" xfId="1" applyNumberFormat="1" applyFont="1" applyBorder="1" applyAlignment="1">
      <alignment horizontal="right" vertical="center"/>
    </xf>
    <xf numFmtId="2" fontId="65" fillId="0" borderId="30" xfId="1" applyNumberFormat="1" applyFont="1" applyBorder="1" applyAlignment="1">
      <alignment horizontal="right" vertical="center"/>
    </xf>
    <xf numFmtId="0" fontId="80" fillId="0" borderId="44" xfId="0" applyFont="1" applyBorder="1" applyAlignment="1">
      <alignment horizontal="center" vertical="center" wrapText="1"/>
    </xf>
    <xf numFmtId="0" fontId="155" fillId="0" borderId="2" xfId="0" applyFont="1" applyBorder="1" applyAlignment="1">
      <alignment horizontal="center" vertical="center" wrapText="1"/>
    </xf>
    <xf numFmtId="0" fontId="131" fillId="0" borderId="12" xfId="0" applyFont="1" applyBorder="1" applyAlignment="1">
      <alignment horizontal="center" vertical="center"/>
    </xf>
    <xf numFmtId="0" fontId="131" fillId="0" borderId="15" xfId="0" applyFont="1" applyBorder="1" applyAlignment="1">
      <alignment horizontal="center" vertical="center"/>
    </xf>
    <xf numFmtId="0" fontId="138" fillId="0" borderId="15" xfId="0" applyFont="1" applyBorder="1" applyAlignment="1">
      <alignment horizontal="center" vertical="center" wrapText="1"/>
    </xf>
    <xf numFmtId="0" fontId="138" fillId="0" borderId="0" xfId="0" applyFont="1" applyAlignment="1">
      <alignment horizontal="center" vertical="center" wrapText="1"/>
    </xf>
    <xf numFmtId="0" fontId="131" fillId="0" borderId="0" xfId="0" applyFont="1" applyAlignment="1">
      <alignment horizontal="center" vertical="center"/>
    </xf>
    <xf numFmtId="0" fontId="104" fillId="0" borderId="0" xfId="0" applyFont="1" applyAlignment="1">
      <alignment vertical="center"/>
    </xf>
    <xf numFmtId="0" fontId="87" fillId="0" borderId="0" xfId="0" applyFont="1" applyAlignment="1">
      <alignment horizontal="left" vertical="center"/>
    </xf>
    <xf numFmtId="0" fontId="115" fillId="0" borderId="18" xfId="0" applyFont="1" applyBorder="1" applyAlignment="1">
      <alignment horizontal="left" vertical="center" wrapText="1"/>
    </xf>
    <xf numFmtId="0" fontId="87" fillId="0" borderId="18" xfId="0" applyFont="1" applyBorder="1" applyAlignment="1">
      <alignment horizontal="left" vertical="center"/>
    </xf>
    <xf numFmtId="0" fontId="131" fillId="0" borderId="13" xfId="0" applyFont="1" applyBorder="1" applyAlignment="1">
      <alignment horizontal="left" vertical="center"/>
    </xf>
    <xf numFmtId="0" fontId="131" fillId="0" borderId="14" xfId="0" applyFont="1" applyBorder="1" applyAlignment="1">
      <alignment horizontal="left" vertical="center"/>
    </xf>
    <xf numFmtId="0" fontId="131" fillId="0" borderId="0" xfId="0" applyFont="1" applyAlignment="1">
      <alignment horizontal="left" vertical="center"/>
    </xf>
    <xf numFmtId="0" fontId="131" fillId="0" borderId="16" xfId="0" applyFont="1" applyBorder="1" applyAlignment="1">
      <alignment horizontal="left" vertical="center"/>
    </xf>
    <xf numFmtId="0" fontId="87" fillId="0" borderId="19" xfId="0" applyFont="1" applyBorder="1" applyAlignment="1">
      <alignment horizontal="left" vertical="center"/>
    </xf>
    <xf numFmtId="0" fontId="87" fillId="0" borderId="18" xfId="0" applyFont="1" applyBorder="1" applyAlignment="1">
      <alignment horizontal="left" vertical="center" wrapText="1"/>
    </xf>
    <xf numFmtId="10" fontId="87" fillId="0" borderId="18" xfId="124" applyNumberFormat="1" applyFont="1" applyBorder="1" applyAlignment="1">
      <alignment horizontal="center" vertical="center"/>
    </xf>
    <xf numFmtId="0" fontId="87" fillId="0" borderId="16" xfId="0" applyFont="1" applyBorder="1" applyAlignment="1">
      <alignment horizontal="left" vertical="center"/>
    </xf>
    <xf numFmtId="0" fontId="87" fillId="0" borderId="24" xfId="0" applyFont="1" applyBorder="1" applyAlignment="1">
      <alignment horizontal="left" vertical="center"/>
    </xf>
    <xf numFmtId="0" fontId="87" fillId="0" borderId="25" xfId="0" applyFont="1" applyBorder="1" applyAlignment="1">
      <alignment horizontal="left" vertical="center"/>
    </xf>
    <xf numFmtId="0" fontId="107" fillId="0" borderId="18" xfId="121" applyFont="1" applyBorder="1" applyAlignment="1">
      <alignment horizontal="center" vertical="center" wrapText="1"/>
    </xf>
    <xf numFmtId="0" fontId="26" fillId="0" borderId="18" xfId="127" applyFont="1" applyBorder="1" applyAlignment="1">
      <alignment horizontal="left" vertical="center" wrapText="1"/>
    </xf>
    <xf numFmtId="0" fontId="25" fillId="0" borderId="12" xfId="127" applyFont="1" applyBorder="1" applyAlignment="1">
      <alignment horizontal="left" vertical="center"/>
    </xf>
    <xf numFmtId="0" fontId="80" fillId="0" borderId="13" xfId="127" applyFont="1" applyBorder="1" applyAlignment="1">
      <alignment horizontal="left" vertical="center"/>
    </xf>
    <xf numFmtId="0" fontId="80" fillId="0" borderId="14" xfId="127" applyFont="1" applyBorder="1" applyAlignment="1">
      <alignment horizontal="left" vertical="center"/>
    </xf>
    <xf numFmtId="0" fontId="80" fillId="0" borderId="0" xfId="127" applyFont="1" applyAlignment="1">
      <alignment horizontal="left" vertical="center"/>
    </xf>
    <xf numFmtId="0" fontId="80" fillId="0" borderId="2" xfId="127" applyFont="1" applyBorder="1" applyAlignment="1">
      <alignment horizontal="left" vertical="center" wrapText="1"/>
    </xf>
    <xf numFmtId="0" fontId="80" fillId="0" borderId="19" xfId="127" applyFont="1" applyBorder="1" applyAlignment="1">
      <alignment horizontal="left" vertical="center" wrapText="1"/>
    </xf>
    <xf numFmtId="0" fontId="25" fillId="0" borderId="2" xfId="127" applyFont="1" applyBorder="1" applyAlignment="1">
      <alignment horizontal="left" vertical="center" wrapText="1"/>
    </xf>
    <xf numFmtId="0" fontId="26" fillId="0" borderId="2" xfId="127" applyFont="1" applyBorder="1" applyAlignment="1">
      <alignment horizontal="left" vertical="center" wrapText="1"/>
    </xf>
    <xf numFmtId="0" fontId="26" fillId="0" borderId="2" xfId="127" applyFont="1" applyBorder="1" applyAlignment="1">
      <alignment vertical="center" wrapText="1"/>
    </xf>
    <xf numFmtId="0" fontId="80" fillId="0" borderId="0" xfId="127" applyFont="1" applyAlignment="1">
      <alignment horizontal="center" vertical="center"/>
    </xf>
    <xf numFmtId="0" fontId="26" fillId="0" borderId="0" xfId="127" applyFont="1" applyAlignment="1">
      <alignment horizontal="left" vertical="center" wrapText="1"/>
    </xf>
    <xf numFmtId="0" fontId="80" fillId="0" borderId="18" xfId="127" applyFont="1" applyBorder="1" applyAlignment="1">
      <alignment horizontal="left" vertical="center"/>
    </xf>
    <xf numFmtId="0" fontId="26" fillId="0" borderId="9" xfId="127" applyFont="1" applyBorder="1" applyAlignment="1">
      <alignment horizontal="left" vertical="center" wrapText="1"/>
    </xf>
    <xf numFmtId="0" fontId="26" fillId="0" borderId="5" xfId="127" applyFont="1" applyBorder="1" applyAlignment="1">
      <alignment horizontal="left" vertical="center" wrapText="1"/>
    </xf>
    <xf numFmtId="0" fontId="26" fillId="0" borderId="30" xfId="127" applyFont="1" applyBorder="1" applyAlignment="1">
      <alignment horizontal="left" vertical="center" wrapText="1"/>
    </xf>
    <xf numFmtId="0" fontId="62" fillId="0" borderId="0" xfId="127" applyFont="1" applyAlignment="1">
      <alignment horizontal="left" vertical="center"/>
    </xf>
    <xf numFmtId="0" fontId="0" fillId="0" borderId="12" xfId="0" applyBorder="1" applyAlignment="1">
      <alignment horizontal="left" vertical="center"/>
    </xf>
    <xf numFmtId="0" fontId="0" fillId="0" borderId="15" xfId="0" applyBorder="1" applyAlignment="1">
      <alignment horizontal="left" vertical="center"/>
    </xf>
    <xf numFmtId="0" fontId="86" fillId="0" borderId="0" xfId="0" applyFont="1" applyAlignment="1">
      <alignment horizontal="left" vertical="center"/>
    </xf>
    <xf numFmtId="0" fontId="59" fillId="0" borderId="15" xfId="0" applyFont="1" applyBorder="1" applyAlignment="1">
      <alignment horizontal="center" vertical="center" wrapText="1"/>
    </xf>
    <xf numFmtId="0" fontId="59" fillId="0" borderId="0" xfId="0" applyFont="1" applyAlignment="1">
      <alignment horizontal="center" vertical="center" wrapText="1"/>
    </xf>
    <xf numFmtId="0" fontId="104" fillId="0" borderId="0" xfId="0" applyFont="1" applyAlignment="1">
      <alignment horizontal="left" vertical="center"/>
    </xf>
    <xf numFmtId="0" fontId="85" fillId="0" borderId="0" xfId="0" applyFont="1" applyAlignment="1">
      <alignment horizontal="left" vertical="center"/>
    </xf>
    <xf numFmtId="0" fontId="87" fillId="0" borderId="15" xfId="0" applyFont="1" applyBorder="1" applyAlignment="1">
      <alignment horizontal="left" vertical="center"/>
    </xf>
    <xf numFmtId="0" fontId="80" fillId="0" borderId="0" xfId="0" applyFont="1" applyAlignment="1">
      <alignment horizontal="left" vertical="center"/>
    </xf>
    <xf numFmtId="0" fontId="103" fillId="0" borderId="15" xfId="0" applyFont="1" applyBorder="1" applyAlignment="1">
      <alignment horizontal="left" vertical="center"/>
    </xf>
    <xf numFmtId="0" fontId="25" fillId="0" borderId="0" xfId="0" applyFont="1" applyAlignment="1">
      <alignment horizontal="left" vertical="center"/>
    </xf>
    <xf numFmtId="0" fontId="0" fillId="0" borderId="49" xfId="0" applyBorder="1" applyAlignment="1">
      <alignment horizontal="left" vertical="center"/>
    </xf>
    <xf numFmtId="0" fontId="129" fillId="0" borderId="18" xfId="0" applyFont="1" applyBorder="1" applyAlignment="1">
      <alignment horizontal="left" vertical="center"/>
    </xf>
    <xf numFmtId="0" fontId="0" fillId="0" borderId="18" xfId="0" applyBorder="1" applyAlignment="1">
      <alignment horizontal="left" vertical="center" wrapText="1"/>
    </xf>
    <xf numFmtId="0" fontId="0" fillId="0" borderId="30" xfId="0" applyBorder="1" applyAlignment="1">
      <alignment horizontal="left" vertical="center" wrapText="1"/>
    </xf>
    <xf numFmtId="0" fontId="37" fillId="0" borderId="18" xfId="0" applyFont="1" applyBorder="1" applyAlignment="1">
      <alignment horizontal="left" vertical="center"/>
    </xf>
    <xf numFmtId="0" fontId="19" fillId="0" borderId="18" xfId="0" applyFont="1" applyBorder="1" applyAlignment="1">
      <alignment horizontal="center" vertical="center" wrapText="1"/>
    </xf>
    <xf numFmtId="0" fontId="19" fillId="0" borderId="18" xfId="0" applyFont="1" applyBorder="1" applyAlignment="1">
      <alignment horizontal="left" vertical="center" wrapText="1"/>
    </xf>
    <xf numFmtId="0" fontId="19" fillId="0" borderId="30" xfId="0" applyFont="1" applyBorder="1" applyAlignment="1">
      <alignment horizontal="left" vertical="center" wrapText="1"/>
    </xf>
    <xf numFmtId="166" fontId="20" fillId="0" borderId="15" xfId="0" applyNumberFormat="1" applyFont="1" applyBorder="1" applyAlignment="1">
      <alignment horizontal="right" vertical="center" shrinkToFit="1"/>
    </xf>
    <xf numFmtId="0" fontId="47" fillId="0" borderId="0" xfId="0" applyFont="1" applyAlignment="1">
      <alignment horizontal="left" vertical="center"/>
    </xf>
    <xf numFmtId="0" fontId="74" fillId="0" borderId="15" xfId="0" applyFont="1" applyBorder="1" applyAlignment="1">
      <alignment horizontal="left" vertical="center"/>
    </xf>
    <xf numFmtId="0" fontId="74" fillId="0" borderId="0" xfId="0" applyFont="1" applyAlignment="1">
      <alignment horizontal="left" vertical="center"/>
    </xf>
    <xf numFmtId="0" fontId="74" fillId="0" borderId="16" xfId="0" applyFont="1" applyBorder="1" applyAlignment="1">
      <alignment horizontal="left" vertical="center"/>
    </xf>
    <xf numFmtId="0" fontId="104" fillId="0" borderId="15" xfId="0" applyFont="1" applyBorder="1" applyAlignment="1">
      <alignment horizontal="left" vertical="center"/>
    </xf>
    <xf numFmtId="0" fontId="18" fillId="0" borderId="0" xfId="0" applyFont="1" applyAlignment="1">
      <alignment horizontal="left" vertical="center"/>
    </xf>
    <xf numFmtId="14" fontId="0" fillId="0" borderId="0" xfId="0" applyNumberFormat="1" applyAlignment="1">
      <alignment horizontal="left" vertical="center"/>
    </xf>
    <xf numFmtId="14" fontId="80" fillId="0" borderId="0" xfId="0" applyNumberFormat="1" applyFont="1" applyAlignment="1">
      <alignment horizontal="left" vertical="center"/>
    </xf>
    <xf numFmtId="0" fontId="13" fillId="0" borderId="0" xfId="121" applyAlignment="1">
      <alignment vertical="center" wrapText="1"/>
    </xf>
    <xf numFmtId="0" fontId="13" fillId="0" borderId="12" xfId="121" applyBorder="1" applyAlignment="1">
      <alignment vertical="center" wrapText="1"/>
    </xf>
    <xf numFmtId="0" fontId="13" fillId="0" borderId="13" xfId="121" applyBorder="1" applyAlignment="1">
      <alignment vertical="center" wrapText="1"/>
    </xf>
    <xf numFmtId="0" fontId="36" fillId="0" borderId="14" xfId="0" applyFont="1" applyBorder="1" applyAlignment="1">
      <alignment horizontal="center" vertical="center"/>
    </xf>
    <xf numFmtId="0" fontId="13" fillId="0" borderId="15" xfId="121" applyBorder="1" applyAlignment="1">
      <alignment vertical="center" wrapText="1"/>
    </xf>
    <xf numFmtId="0" fontId="88" fillId="0" borderId="16" xfId="0" applyFont="1" applyBorder="1" applyAlignment="1">
      <alignment horizontal="center" vertical="center"/>
    </xf>
    <xf numFmtId="0" fontId="13" fillId="0" borderId="16" xfId="121" applyBorder="1" applyAlignment="1">
      <alignment vertical="center" wrapText="1"/>
    </xf>
    <xf numFmtId="0" fontId="13" fillId="0" borderId="23" xfId="121" applyBorder="1" applyAlignment="1">
      <alignment vertical="center" wrapText="1"/>
    </xf>
    <xf numFmtId="0" fontId="13" fillId="0" borderId="24" xfId="121" applyBorder="1" applyAlignment="1">
      <alignment vertical="center" wrapText="1"/>
    </xf>
    <xf numFmtId="0" fontId="87" fillId="0" borderId="12" xfId="0" applyFont="1" applyBorder="1" applyAlignment="1">
      <alignment horizontal="left" vertical="center"/>
    </xf>
    <xf numFmtId="0" fontId="87" fillId="0" borderId="13" xfId="0" applyFont="1" applyBorder="1" applyAlignment="1">
      <alignment horizontal="left" vertical="center"/>
    </xf>
    <xf numFmtId="0" fontId="104" fillId="0" borderId="15" xfId="0" applyFont="1" applyBorder="1" applyAlignment="1">
      <alignment horizontal="center" vertical="center"/>
    </xf>
    <xf numFmtId="0" fontId="104" fillId="0" borderId="15" xfId="0" applyFont="1" applyBorder="1" applyAlignment="1">
      <alignment vertical="center"/>
    </xf>
    <xf numFmtId="0" fontId="131" fillId="0" borderId="16" xfId="0" applyFont="1" applyBorder="1" applyAlignment="1">
      <alignment horizontal="center" vertical="center"/>
    </xf>
    <xf numFmtId="0" fontId="87" fillId="0" borderId="0" xfId="0" applyFont="1" applyAlignment="1">
      <alignment vertical="center"/>
    </xf>
    <xf numFmtId="0" fontId="0" fillId="0" borderId="0" xfId="0" applyAlignment="1">
      <alignment vertical="center"/>
    </xf>
    <xf numFmtId="0" fontId="103" fillId="0" borderId="16" xfId="0" applyFont="1" applyBorder="1" applyAlignment="1">
      <alignment horizontal="center" vertical="center"/>
    </xf>
    <xf numFmtId="0" fontId="103" fillId="0" borderId="0" xfId="0" applyFont="1" applyAlignment="1">
      <alignment vertical="center"/>
    </xf>
    <xf numFmtId="0" fontId="131" fillId="0" borderId="15" xfId="0" applyFont="1" applyBorder="1" applyAlignment="1">
      <alignment horizontal="left" vertical="center"/>
    </xf>
    <xf numFmtId="0" fontId="131" fillId="0" borderId="17" xfId="0" applyFont="1" applyBorder="1" applyAlignment="1">
      <alignment vertical="center"/>
    </xf>
    <xf numFmtId="0" fontId="87" fillId="0" borderId="15" xfId="0" applyFont="1" applyBorder="1" applyAlignment="1">
      <alignment horizontal="left" vertical="center" wrapText="1"/>
    </xf>
    <xf numFmtId="0" fontId="108" fillId="0" borderId="16" xfId="0" applyFont="1" applyBorder="1" applyAlignment="1">
      <alignment horizontal="left" vertical="center"/>
    </xf>
    <xf numFmtId="0" fontId="87" fillId="0" borderId="23" xfId="0" applyFont="1" applyBorder="1" applyAlignment="1">
      <alignment horizontal="left" vertical="center"/>
    </xf>
    <xf numFmtId="0" fontId="151" fillId="0" borderId="15" xfId="126" applyFont="1" applyBorder="1" applyAlignment="1">
      <alignment horizontal="center" vertical="center"/>
    </xf>
    <xf numFmtId="0" fontId="152" fillId="0" borderId="0" xfId="126" applyFont="1" applyAlignment="1">
      <alignment wrapText="1"/>
    </xf>
    <xf numFmtId="2" fontId="152" fillId="0" borderId="0" xfId="126" applyNumberFormat="1" applyFont="1" applyAlignment="1">
      <alignment horizontal="center" vertical="center"/>
    </xf>
    <xf numFmtId="0" fontId="151" fillId="0" borderId="18" xfId="126" applyFont="1" applyBorder="1" applyAlignment="1">
      <alignment horizontal="center" vertical="center"/>
    </xf>
    <xf numFmtId="0" fontId="152" fillId="0" borderId="18" xfId="126" applyFont="1" applyBorder="1" applyAlignment="1">
      <alignment horizontal="center" wrapText="1"/>
    </xf>
    <xf numFmtId="0" fontId="152" fillId="0" borderId="18" xfId="126" applyFont="1" applyBorder="1" applyAlignment="1">
      <alignment horizontal="center" vertical="center" wrapText="1"/>
    </xf>
    <xf numFmtId="0" fontId="151" fillId="0" borderId="18" xfId="126" applyFont="1" applyBorder="1" applyAlignment="1">
      <alignment horizontal="center"/>
    </xf>
    <xf numFmtId="2" fontId="152" fillId="0" borderId="18" xfId="126" applyNumberFormat="1" applyFont="1" applyBorder="1" applyAlignment="1">
      <alignment horizontal="center"/>
    </xf>
    <xf numFmtId="0" fontId="152" fillId="0" borderId="18" xfId="126" applyFont="1" applyBorder="1" applyAlignment="1">
      <alignment horizontal="left" wrapText="1"/>
    </xf>
    <xf numFmtId="170" fontId="152" fillId="0" borderId="18" xfId="126" applyNumberFormat="1" applyFont="1" applyBorder="1" applyAlignment="1">
      <alignment horizontal="center" vertical="center"/>
    </xf>
    <xf numFmtId="2" fontId="152" fillId="0" borderId="18" xfId="126" quotePrefix="1" applyNumberFormat="1" applyFont="1" applyBorder="1" applyAlignment="1">
      <alignment horizontal="center" vertical="center"/>
    </xf>
    <xf numFmtId="2" fontId="152" fillId="0" borderId="18" xfId="126" applyNumberFormat="1" applyFont="1" applyBorder="1" applyAlignment="1">
      <alignment horizontal="center" vertical="center" wrapText="1"/>
    </xf>
    <xf numFmtId="0" fontId="85" fillId="0" borderId="0" xfId="0" applyFont="1" applyAlignment="1">
      <alignment horizontal="left" vertical="top" wrapText="1"/>
    </xf>
    <xf numFmtId="0" fontId="85" fillId="0" borderId="16" xfId="0" applyFont="1" applyBorder="1" applyAlignment="1">
      <alignment horizontal="left" vertical="top" wrapText="1"/>
    </xf>
    <xf numFmtId="0" fontId="85" fillId="0" borderId="15" xfId="0" applyFont="1" applyBorder="1" applyAlignment="1">
      <alignment horizontal="left" vertical="center" wrapText="1"/>
    </xf>
    <xf numFmtId="0" fontId="85" fillId="0" borderId="0" xfId="0" applyFont="1" applyAlignment="1">
      <alignment horizontal="left" vertical="center" wrapText="1"/>
    </xf>
    <xf numFmtId="0" fontId="85" fillId="0" borderId="16" xfId="0" applyFont="1" applyBorder="1" applyAlignment="1">
      <alignment horizontal="left" vertical="center" wrapText="1"/>
    </xf>
    <xf numFmtId="0" fontId="152" fillId="0" borderId="18" xfId="126" applyFont="1" applyBorder="1" applyAlignment="1">
      <alignment horizontal="left" vertical="center" wrapText="1"/>
    </xf>
    <xf numFmtId="0" fontId="152" fillId="0" borderId="0" xfId="126" applyFont="1" applyAlignment="1">
      <alignment horizontal="left" vertical="center" wrapText="1"/>
    </xf>
    <xf numFmtId="0" fontId="134" fillId="0" borderId="0" xfId="126" applyFont="1"/>
    <xf numFmtId="0" fontId="151" fillId="0" borderId="0" xfId="126" applyFont="1" applyAlignment="1">
      <alignment horizontal="center" vertical="center"/>
    </xf>
    <xf numFmtId="2" fontId="152" fillId="0" borderId="31" xfId="126" applyNumberFormat="1" applyFont="1" applyBorder="1" applyAlignment="1">
      <alignment horizontal="center" vertical="center"/>
    </xf>
    <xf numFmtId="2" fontId="152" fillId="0" borderId="31" xfId="126" applyNumberFormat="1" applyFont="1" applyBorder="1" applyAlignment="1">
      <alignment horizontal="center"/>
    </xf>
    <xf numFmtId="0" fontId="6" fillId="0" borderId="18" xfId="126" applyBorder="1" applyAlignment="1">
      <alignment horizontal="center" vertical="center"/>
    </xf>
    <xf numFmtId="2" fontId="148" fillId="0" borderId="0" xfId="126" applyNumberFormat="1" applyFont="1"/>
    <xf numFmtId="167" fontId="23" fillId="0" borderId="18" xfId="0" applyNumberFormat="1" applyFont="1" applyBorder="1" applyAlignment="1">
      <alignment horizontal="center" vertical="center" shrinkToFit="1"/>
    </xf>
    <xf numFmtId="0" fontId="0" fillId="0" borderId="19" xfId="0" applyBorder="1" applyAlignment="1">
      <alignment horizontal="center" vertical="center"/>
    </xf>
    <xf numFmtId="0" fontId="62" fillId="0" borderId="2" xfId="0" applyFont="1" applyBorder="1" applyAlignment="1">
      <alignment horizontal="center" vertical="center" wrapText="1"/>
    </xf>
    <xf numFmtId="10" fontId="80" fillId="0" borderId="18" xfId="0" applyNumberFormat="1" applyFont="1" applyBorder="1" applyAlignment="1">
      <alignment horizontal="center" vertical="center" wrapText="1"/>
    </xf>
    <xf numFmtId="10" fontId="80" fillId="0" borderId="18" xfId="0" applyNumberFormat="1" applyFont="1" applyBorder="1" applyAlignment="1">
      <alignment horizontal="center" vertical="center"/>
    </xf>
    <xf numFmtId="10" fontId="80" fillId="0" borderId="19" xfId="0" applyNumberFormat="1" applyFont="1" applyBorder="1" applyAlignment="1">
      <alignment horizontal="center" vertical="center"/>
    </xf>
    <xf numFmtId="9" fontId="80" fillId="0" borderId="18" xfId="0" applyNumberFormat="1" applyFont="1" applyBorder="1" applyAlignment="1">
      <alignment horizontal="center" vertical="center"/>
    </xf>
    <xf numFmtId="9" fontId="80" fillId="0" borderId="19" xfId="0" applyNumberFormat="1" applyFont="1" applyBorder="1" applyAlignment="1">
      <alignment horizontal="center" vertical="center"/>
    </xf>
    <xf numFmtId="3" fontId="80" fillId="0" borderId="18" xfId="0" applyNumberFormat="1" applyFont="1" applyBorder="1" applyAlignment="1">
      <alignment horizontal="center" vertical="center"/>
    </xf>
    <xf numFmtId="3" fontId="80" fillId="0" borderId="19" xfId="0" applyNumberFormat="1" applyFont="1" applyBorder="1" applyAlignment="1">
      <alignment horizontal="center" vertical="center"/>
    </xf>
    <xf numFmtId="2" fontId="127" fillId="0" borderId="18" xfId="0" applyNumberFormat="1" applyFont="1" applyBorder="1" applyAlignment="1">
      <alignment horizontal="center" vertical="center" wrapText="1"/>
    </xf>
    <xf numFmtId="9" fontId="80" fillId="0" borderId="18" xfId="124" applyFont="1" applyBorder="1" applyAlignment="1">
      <alignment horizontal="center" vertical="center"/>
    </xf>
    <xf numFmtId="9" fontId="80" fillId="0" borderId="19" xfId="124" applyFont="1" applyBorder="1" applyAlignment="1">
      <alignment horizontal="center" vertical="center"/>
    </xf>
    <xf numFmtId="10" fontId="127" fillId="0" borderId="18" xfId="0" applyNumberFormat="1" applyFont="1" applyBorder="1" applyAlignment="1">
      <alignment horizontal="center" vertical="center" wrapText="1"/>
    </xf>
    <xf numFmtId="0" fontId="80" fillId="0" borderId="19" xfId="0" applyFont="1" applyBorder="1" applyAlignment="1">
      <alignment horizontal="center" vertical="center"/>
    </xf>
    <xf numFmtId="0" fontId="24" fillId="0" borderId="73" xfId="0" applyFont="1" applyBorder="1" applyAlignment="1">
      <alignment horizontal="left" vertical="top" wrapText="1"/>
    </xf>
    <xf numFmtId="0" fontId="62" fillId="0" borderId="5" xfId="0" applyFont="1" applyBorder="1" applyAlignment="1">
      <alignment horizontal="center" vertical="center" wrapText="1"/>
    </xf>
    <xf numFmtId="0" fontId="127" fillId="0" borderId="21" xfId="0" applyFont="1" applyBorder="1" applyAlignment="1">
      <alignment horizontal="center" vertical="center"/>
    </xf>
    <xf numFmtId="0" fontId="127" fillId="0" borderId="22" xfId="0" applyFont="1" applyBorder="1" applyAlignment="1">
      <alignment horizontal="center" vertical="center"/>
    </xf>
    <xf numFmtId="0" fontId="24" fillId="0" borderId="15" xfId="0" applyFont="1" applyBorder="1" applyAlignment="1">
      <alignment horizontal="left" vertical="top" wrapText="1"/>
    </xf>
    <xf numFmtId="0" fontId="24" fillId="0" borderId="18" xfId="0" applyFont="1" applyBorder="1" applyAlignment="1">
      <alignment horizontal="center" vertical="center" wrapText="1"/>
    </xf>
    <xf numFmtId="0" fontId="24" fillId="0" borderId="17" xfId="0" applyFont="1" applyBorder="1" applyAlignment="1">
      <alignment horizontal="left" vertical="top" wrapText="1"/>
    </xf>
    <xf numFmtId="9" fontId="127" fillId="0" borderId="18" xfId="0" applyNumberFormat="1" applyFont="1" applyBorder="1" applyAlignment="1">
      <alignment horizontal="center" vertical="center" wrapText="1"/>
    </xf>
    <xf numFmtId="3" fontId="127" fillId="0" borderId="18" xfId="0" applyNumberFormat="1" applyFont="1" applyBorder="1" applyAlignment="1">
      <alignment horizontal="center" vertical="center" wrapText="1"/>
    </xf>
    <xf numFmtId="0" fontId="127" fillId="0" borderId="18" xfId="0" applyFont="1" applyBorder="1" applyAlignment="1">
      <alignment horizontal="center" vertical="center" wrapText="1"/>
    </xf>
    <xf numFmtId="0" fontId="80" fillId="0" borderId="18" xfId="0" applyFont="1" applyBorder="1" applyAlignment="1">
      <alignment horizontal="center" vertical="center" wrapText="1"/>
    </xf>
    <xf numFmtId="0" fontId="127" fillId="0" borderId="21" xfId="0" applyFont="1" applyBorder="1" applyAlignment="1">
      <alignment horizontal="center" vertical="center" wrapText="1"/>
    </xf>
    <xf numFmtId="0" fontId="0" fillId="0" borderId="0" xfId="0" applyAlignment="1">
      <alignment horizontal="left" vertical="center" wrapText="1"/>
    </xf>
    <xf numFmtId="0" fontId="71" fillId="0" borderId="0" xfId="1" applyFont="1" applyAlignment="1">
      <alignment horizontal="center" vertical="center"/>
    </xf>
    <xf numFmtId="0" fontId="103" fillId="0" borderId="17" xfId="0" applyFont="1" applyBorder="1" applyAlignment="1">
      <alignment horizontal="center" vertical="center" wrapText="1"/>
    </xf>
    <xf numFmtId="2" fontId="0" fillId="0" borderId="18" xfId="0" applyNumberFormat="1" applyBorder="1" applyAlignment="1">
      <alignment horizontal="left" vertical="center"/>
    </xf>
    <xf numFmtId="2" fontId="0" fillId="0" borderId="18" xfId="0" applyNumberFormat="1" applyBorder="1" applyAlignment="1">
      <alignment horizontal="center" vertical="center"/>
    </xf>
    <xf numFmtId="2" fontId="0" fillId="0" borderId="19" xfId="0" applyNumberFormat="1" applyBorder="1" applyAlignment="1">
      <alignment horizontal="center" vertical="center"/>
    </xf>
    <xf numFmtId="2" fontId="0" fillId="0" borderId="30" xfId="0" applyNumberFormat="1" applyBorder="1" applyAlignment="1">
      <alignment horizontal="center" vertical="center"/>
    </xf>
    <xf numFmtId="2" fontId="0" fillId="0" borderId="30" xfId="0" applyNumberFormat="1" applyBorder="1" applyAlignment="1">
      <alignment horizontal="left" vertical="center"/>
    </xf>
    <xf numFmtId="2" fontId="0" fillId="0" borderId="19" xfId="0" applyNumberFormat="1" applyBorder="1" applyAlignment="1">
      <alignment horizontal="left" vertical="center"/>
    </xf>
    <xf numFmtId="2" fontId="114" fillId="0" borderId="0" xfId="125" applyNumberFormat="1" applyFont="1"/>
    <xf numFmtId="2" fontId="132" fillId="0" borderId="18" xfId="125" applyNumberFormat="1" applyFont="1" applyBorder="1" applyAlignment="1">
      <alignment horizontal="center" vertical="center"/>
    </xf>
    <xf numFmtId="2" fontId="13" fillId="0" borderId="0" xfId="121" applyNumberFormat="1" applyAlignment="1">
      <alignment wrapText="1"/>
    </xf>
    <xf numFmtId="0" fontId="74" fillId="0" borderId="18" xfId="0" applyFont="1" applyBorder="1" applyAlignment="1">
      <alignment horizontal="justify" vertical="center" wrapText="1"/>
    </xf>
    <xf numFmtId="0" fontId="171" fillId="0" borderId="18" xfId="0" applyFont="1" applyBorder="1" applyAlignment="1">
      <alignment vertical="center"/>
    </xf>
    <xf numFmtId="0" fontId="171" fillId="0" borderId="0" xfId="0" applyFont="1" applyAlignment="1">
      <alignment horizontal="center" vertical="center"/>
    </xf>
    <xf numFmtId="0" fontId="172" fillId="0" borderId="0" xfId="121" applyFont="1" applyAlignment="1">
      <alignment wrapText="1"/>
    </xf>
    <xf numFmtId="0" fontId="171" fillId="0" borderId="37" xfId="0" applyFont="1" applyBorder="1" applyAlignment="1">
      <alignment horizontal="center" vertical="center"/>
    </xf>
    <xf numFmtId="0" fontId="171" fillId="0" borderId="18" xfId="0" applyFont="1" applyBorder="1" applyAlignment="1">
      <alignment horizontal="justify" vertical="center"/>
    </xf>
    <xf numFmtId="0" fontId="173" fillId="0" borderId="18" xfId="0" applyFont="1" applyBorder="1" applyAlignment="1">
      <alignment horizontal="justify" vertical="center" wrapText="1"/>
    </xf>
    <xf numFmtId="0" fontId="174" fillId="0" borderId="18" xfId="121" applyFont="1" applyBorder="1" applyAlignment="1">
      <alignment horizontal="center" vertical="center" wrapText="1"/>
    </xf>
    <xf numFmtId="0" fontId="171" fillId="0" borderId="18" xfId="0" applyFont="1" applyBorder="1" applyAlignment="1">
      <alignment horizontal="justify" vertical="center" wrapText="1"/>
    </xf>
    <xf numFmtId="0" fontId="75" fillId="0" borderId="18" xfId="0" applyFont="1" applyBorder="1" applyAlignment="1">
      <alignment horizontal="center" vertical="center" wrapText="1"/>
    </xf>
    <xf numFmtId="0" fontId="172" fillId="0" borderId="18" xfId="121" applyFont="1" applyBorder="1" applyAlignment="1">
      <alignment horizontal="center" vertical="center" wrapText="1"/>
    </xf>
    <xf numFmtId="0" fontId="172" fillId="0" borderId="18" xfId="121" applyFont="1" applyBorder="1" applyAlignment="1">
      <alignment wrapText="1"/>
    </xf>
    <xf numFmtId="0" fontId="74" fillId="0" borderId="18" xfId="0" applyFont="1" applyBorder="1" applyAlignment="1">
      <alignment horizontal="justify" vertical="center"/>
    </xf>
    <xf numFmtId="2" fontId="172" fillId="0" borderId="18" xfId="121" applyNumberFormat="1" applyFont="1" applyBorder="1" applyAlignment="1">
      <alignment wrapText="1"/>
    </xf>
    <xf numFmtId="0" fontId="74" fillId="0" borderId="0" xfId="0" applyFont="1" applyAlignment="1">
      <alignment horizontal="justify" vertical="center"/>
    </xf>
    <xf numFmtId="0" fontId="75" fillId="0" borderId="18" xfId="0" applyFont="1" applyBorder="1" applyAlignment="1">
      <alignment horizontal="justify" vertical="center" wrapText="1"/>
    </xf>
    <xf numFmtId="0" fontId="171" fillId="0" borderId="0" xfId="0" applyFont="1" applyAlignment="1">
      <alignment horizontal="justify" vertical="center"/>
    </xf>
    <xf numFmtId="0" fontId="75" fillId="0" borderId="18" xfId="0" applyFont="1" applyBorder="1" applyAlignment="1">
      <alignment horizontal="justify" vertical="center"/>
    </xf>
    <xf numFmtId="0" fontId="75" fillId="0" borderId="0" xfId="0" applyFont="1" applyAlignment="1">
      <alignment horizontal="justify" vertical="center"/>
    </xf>
    <xf numFmtId="2" fontId="75" fillId="0" borderId="18" xfId="0" applyNumberFormat="1" applyFont="1" applyBorder="1" applyAlignment="1">
      <alignment horizontal="center"/>
    </xf>
    <xf numFmtId="2" fontId="175" fillId="0" borderId="18" xfId="121" applyNumberFormat="1" applyFont="1" applyBorder="1" applyAlignment="1">
      <alignment horizontal="center" vertical="center" wrapText="1"/>
    </xf>
    <xf numFmtId="2" fontId="172" fillId="0" borderId="0" xfId="121" applyNumberFormat="1" applyFont="1" applyAlignment="1">
      <alignment wrapText="1"/>
    </xf>
    <xf numFmtId="0" fontId="176" fillId="0" borderId="17" xfId="121" applyFont="1" applyBorder="1" applyAlignment="1">
      <alignment horizontal="center" vertical="center" wrapText="1"/>
    </xf>
    <xf numFmtId="0" fontId="76" fillId="0" borderId="18" xfId="121" applyFont="1" applyBorder="1" applyAlignment="1">
      <alignment vertical="center"/>
    </xf>
    <xf numFmtId="0" fontId="176" fillId="0" borderId="18" xfId="121" applyFont="1" applyBorder="1" applyAlignment="1">
      <alignment vertical="center" wrapText="1"/>
    </xf>
    <xf numFmtId="0" fontId="177" fillId="0" borderId="18" xfId="121" applyFont="1" applyBorder="1" applyAlignment="1">
      <alignment wrapText="1"/>
    </xf>
    <xf numFmtId="10" fontId="13" fillId="0" borderId="18" xfId="124" applyNumberFormat="1" applyFont="1" applyBorder="1" applyAlignment="1">
      <alignment horizontal="center" vertical="center" wrapText="1"/>
    </xf>
    <xf numFmtId="2" fontId="13" fillId="0" borderId="18" xfId="124" applyNumberFormat="1" applyFont="1" applyBorder="1" applyAlignment="1">
      <alignment horizontal="center" vertical="center" wrapText="1"/>
    </xf>
    <xf numFmtId="170" fontId="13" fillId="0" borderId="18" xfId="121" applyNumberFormat="1" applyBorder="1" applyAlignment="1">
      <alignment horizontal="center" vertical="center" wrapText="1"/>
    </xf>
    <xf numFmtId="0" fontId="102" fillId="0" borderId="0" xfId="121" applyFont="1" applyAlignment="1">
      <alignment vertical="center"/>
    </xf>
    <xf numFmtId="0" fontId="13" fillId="0" borderId="0" xfId="121"/>
    <xf numFmtId="2" fontId="132" fillId="0" borderId="18" xfId="125" applyNumberFormat="1" applyFont="1" applyBorder="1" applyAlignment="1">
      <alignment horizontal="center"/>
    </xf>
    <xf numFmtId="2" fontId="132" fillId="0" borderId="31" xfId="125" applyNumberFormat="1" applyFont="1" applyBorder="1"/>
    <xf numFmtId="167" fontId="65" fillId="0" borderId="19" xfId="1" applyNumberFormat="1" applyFont="1" applyBorder="1" applyAlignment="1">
      <alignment horizontal="center" vertical="center"/>
    </xf>
    <xf numFmtId="2" fontId="63" fillId="0" borderId="19" xfId="1" applyNumberFormat="1" applyFont="1" applyBorder="1" applyAlignment="1">
      <alignment horizontal="right" vertical="center"/>
    </xf>
    <xf numFmtId="10" fontId="63" fillId="0" borderId="19" xfId="3" applyNumberFormat="1" applyFont="1" applyBorder="1" applyAlignment="1">
      <alignment horizontal="right" vertical="center"/>
    </xf>
    <xf numFmtId="2" fontId="65" fillId="0" borderId="19" xfId="1" applyNumberFormat="1" applyFont="1" applyBorder="1" applyAlignment="1">
      <alignment horizontal="right" vertical="center"/>
    </xf>
    <xf numFmtId="0" fontId="63" fillId="0" borderId="0" xfId="1" applyFont="1" applyAlignment="1">
      <alignment horizontal="center" vertical="center"/>
    </xf>
    <xf numFmtId="2" fontId="63" fillId="0" borderId="0" xfId="1" applyNumberFormat="1" applyFont="1" applyAlignment="1">
      <alignment horizontal="center" vertical="center"/>
    </xf>
    <xf numFmtId="2" fontId="63" fillId="0" borderId="0" xfId="1" applyNumberFormat="1" applyFont="1" applyAlignment="1">
      <alignment horizontal="center"/>
    </xf>
    <xf numFmtId="165" fontId="63" fillId="0" borderId="0" xfId="10" applyFont="1" applyAlignment="1">
      <alignment horizontal="center" vertical="center"/>
    </xf>
    <xf numFmtId="2" fontId="0" fillId="0" borderId="18" xfId="0" applyNumberFormat="1" applyBorder="1" applyAlignment="1">
      <alignment horizontal="center"/>
    </xf>
    <xf numFmtId="0" fontId="80" fillId="0" borderId="0" xfId="130" applyAlignment="1">
      <alignment horizontal="left" vertical="top"/>
    </xf>
    <xf numFmtId="0" fontId="22" fillId="0" borderId="0" xfId="1" applyFont="1" applyAlignment="1">
      <alignment horizontal="left" vertical="center"/>
    </xf>
    <xf numFmtId="0" fontId="22" fillId="0" borderId="16" xfId="1" applyFont="1" applyBorder="1" applyAlignment="1">
      <alignment horizontal="left" vertical="center"/>
    </xf>
    <xf numFmtId="2" fontId="22" fillId="0" borderId="0" xfId="1" applyNumberFormat="1" applyFont="1" applyAlignment="1">
      <alignment horizontal="left" vertical="center"/>
    </xf>
    <xf numFmtId="0" fontId="45" fillId="0" borderId="18" xfId="130" applyFont="1" applyBorder="1" applyAlignment="1">
      <alignment horizontal="center" vertical="center" wrapText="1"/>
    </xf>
    <xf numFmtId="0" fontId="45" fillId="0" borderId="19" xfId="130" applyFont="1" applyBorder="1" applyAlignment="1">
      <alignment horizontal="center" vertical="center" wrapText="1"/>
    </xf>
    <xf numFmtId="1" fontId="44" fillId="0" borderId="17" xfId="130" applyNumberFormat="1" applyFont="1" applyBorder="1" applyAlignment="1">
      <alignment horizontal="center" vertical="center" shrinkToFit="1"/>
    </xf>
    <xf numFmtId="0" fontId="43" fillId="0" borderId="18" xfId="130" applyFont="1" applyBorder="1" applyAlignment="1">
      <alignment horizontal="left" vertical="center" wrapText="1"/>
    </xf>
    <xf numFmtId="0" fontId="43" fillId="0" borderId="18" xfId="130" applyFont="1" applyBorder="1" applyAlignment="1">
      <alignment horizontal="center" vertical="center" wrapText="1"/>
    </xf>
    <xf numFmtId="43" fontId="134" fillId="0" borderId="18" xfId="132" applyFont="1" applyBorder="1" applyAlignment="1">
      <alignment horizontal="center" vertical="center"/>
    </xf>
    <xf numFmtId="181" fontId="134" fillId="0" borderId="19" xfId="132" applyNumberFormat="1" applyFont="1" applyBorder="1" applyAlignment="1">
      <alignment horizontal="center" vertical="center"/>
    </xf>
    <xf numFmtId="2" fontId="26" fillId="0" borderId="0" xfId="130" applyNumberFormat="1" applyFont="1" applyAlignment="1">
      <alignment horizontal="center" vertical="center" wrapText="1"/>
    </xf>
    <xf numFmtId="181" fontId="134" fillId="0" borderId="18" xfId="132" applyNumberFormat="1" applyFont="1" applyBorder="1" applyAlignment="1">
      <alignment horizontal="center"/>
    </xf>
    <xf numFmtId="181" fontId="134" fillId="0" borderId="19" xfId="132" applyNumberFormat="1" applyFont="1" applyBorder="1" applyAlignment="1">
      <alignment horizontal="center"/>
    </xf>
    <xf numFmtId="43" fontId="134" fillId="0" borderId="18" xfId="132" applyFont="1" applyBorder="1" applyAlignment="1">
      <alignment horizontal="center"/>
    </xf>
    <xf numFmtId="0" fontId="80" fillId="0" borderId="15" xfId="130" applyBorder="1" applyAlignment="1">
      <alignment horizontal="left" vertical="top"/>
    </xf>
    <xf numFmtId="181" fontId="134" fillId="0" borderId="18" xfId="132" applyNumberFormat="1" applyFont="1" applyBorder="1"/>
    <xf numFmtId="181" fontId="134" fillId="0" borderId="19" xfId="132" applyNumberFormat="1" applyFont="1" applyBorder="1"/>
    <xf numFmtId="43" fontId="134" fillId="0" borderId="18" xfId="132" applyFont="1" applyBorder="1"/>
    <xf numFmtId="177" fontId="134" fillId="0" borderId="18" xfId="132" applyNumberFormat="1" applyFont="1" applyBorder="1"/>
    <xf numFmtId="177" fontId="134" fillId="0" borderId="19" xfId="132" applyNumberFormat="1" applyFont="1" applyBorder="1"/>
    <xf numFmtId="177" fontId="134" fillId="0" borderId="18" xfId="132" applyNumberFormat="1" applyFont="1" applyBorder="1" applyAlignment="1">
      <alignment horizontal="right"/>
    </xf>
    <xf numFmtId="177" fontId="134" fillId="0" borderId="19" xfId="132" applyNumberFormat="1" applyFont="1" applyBorder="1" applyAlignment="1">
      <alignment horizontal="right"/>
    </xf>
    <xf numFmtId="0" fontId="80" fillId="0" borderId="17" xfId="130" applyBorder="1" applyAlignment="1">
      <alignment horizontal="center" vertical="center"/>
    </xf>
    <xf numFmtId="1" fontId="44" fillId="0" borderId="18" xfId="130" applyNumberFormat="1" applyFont="1" applyBorder="1" applyAlignment="1">
      <alignment horizontal="left" vertical="center" shrinkToFit="1"/>
    </xf>
    <xf numFmtId="43" fontId="134" fillId="0" borderId="19" xfId="132" applyFont="1" applyBorder="1"/>
    <xf numFmtId="0" fontId="80" fillId="0" borderId="0" xfId="130" applyAlignment="1">
      <alignment horizontal="center" vertical="center"/>
    </xf>
    <xf numFmtId="0" fontId="80" fillId="0" borderId="16" xfId="130" applyBorder="1" applyAlignment="1">
      <alignment horizontal="left" vertical="center" wrapText="1"/>
    </xf>
    <xf numFmtId="0" fontId="80" fillId="0" borderId="24" xfId="130" applyBorder="1" applyAlignment="1">
      <alignment horizontal="center" vertical="center" wrapText="1"/>
    </xf>
    <xf numFmtId="181" fontId="134" fillId="0" borderId="18" xfId="132" applyNumberFormat="1" applyFont="1" applyBorder="1" applyAlignment="1">
      <alignment horizontal="center" vertical="center"/>
    </xf>
    <xf numFmtId="43" fontId="134" fillId="0" borderId="19" xfId="132" applyFont="1" applyBorder="1" applyAlignment="1">
      <alignment horizontal="center" vertical="center"/>
    </xf>
    <xf numFmtId="0" fontId="43" fillId="0" borderId="19" xfId="130" applyFont="1" applyBorder="1" applyAlignment="1">
      <alignment horizontal="center" vertical="center" wrapText="1"/>
    </xf>
    <xf numFmtId="43" fontId="134" fillId="0" borderId="19" xfId="132" applyFont="1" applyBorder="1" applyAlignment="1">
      <alignment horizontal="center"/>
    </xf>
    <xf numFmtId="0" fontId="103" fillId="0" borderId="0" xfId="130" applyFont="1" applyAlignment="1">
      <alignment horizontal="left" vertical="top"/>
    </xf>
    <xf numFmtId="0" fontId="80" fillId="0" borderId="12" xfId="130" applyBorder="1" applyAlignment="1">
      <alignment horizontal="left" vertical="top"/>
    </xf>
    <xf numFmtId="2" fontId="80" fillId="0" borderId="13" xfId="130" applyNumberFormat="1" applyBorder="1" applyAlignment="1">
      <alignment horizontal="center" vertical="center"/>
    </xf>
    <xf numFmtId="2" fontId="80" fillId="0" borderId="14" xfId="130" applyNumberFormat="1" applyBorder="1" applyAlignment="1">
      <alignment horizontal="center" vertical="center"/>
    </xf>
    <xf numFmtId="2" fontId="80" fillId="0" borderId="16" xfId="130" applyNumberFormat="1" applyBorder="1" applyAlignment="1">
      <alignment horizontal="center" vertical="center"/>
    </xf>
    <xf numFmtId="0" fontId="80" fillId="0" borderId="23" xfId="130" applyBorder="1" applyAlignment="1">
      <alignment horizontal="left" vertical="top"/>
    </xf>
    <xf numFmtId="2" fontId="43" fillId="0" borderId="18" xfId="130" applyNumberFormat="1" applyFont="1" applyBorder="1" applyAlignment="1">
      <alignment horizontal="center" vertical="center" wrapText="1"/>
    </xf>
    <xf numFmtId="1" fontId="44" fillId="0" borderId="18" xfId="130" applyNumberFormat="1" applyFont="1" applyBorder="1" applyAlignment="1">
      <alignment horizontal="center" vertical="center" shrinkToFit="1"/>
    </xf>
    <xf numFmtId="43" fontId="133" fillId="0" borderId="18" xfId="132" applyFont="1" applyBorder="1"/>
    <xf numFmtId="43" fontId="133" fillId="0" borderId="19" xfId="132" applyFont="1" applyBorder="1"/>
    <xf numFmtId="0" fontId="80" fillId="0" borderId="12" xfId="130" applyBorder="1" applyAlignment="1">
      <alignment horizontal="center" vertical="center"/>
    </xf>
    <xf numFmtId="0" fontId="80" fillId="0" borderId="23" xfId="130" applyBorder="1" applyAlignment="1">
      <alignment horizontal="center" vertical="center"/>
    </xf>
    <xf numFmtId="0" fontId="62" fillId="0" borderId="14" xfId="1" applyBorder="1" applyAlignment="1">
      <alignment vertical="center"/>
    </xf>
    <xf numFmtId="0" fontId="45" fillId="0" borderId="37" xfId="130" applyFont="1" applyBorder="1" applyAlignment="1">
      <alignment horizontal="center" vertical="center" wrapText="1"/>
    </xf>
    <xf numFmtId="0" fontId="43" fillId="0" borderId="18" xfId="130" applyFont="1" applyBorder="1" applyAlignment="1">
      <alignment vertical="center" wrapText="1"/>
    </xf>
    <xf numFmtId="43" fontId="43" fillId="0" borderId="37" xfId="132" applyFont="1" applyBorder="1" applyAlignment="1">
      <alignment horizontal="center" vertical="center" wrapText="1"/>
    </xf>
    <xf numFmtId="43" fontId="43" fillId="0" borderId="62" xfId="132" applyFont="1" applyBorder="1" applyAlignment="1">
      <alignment horizontal="center" vertical="center" wrapText="1"/>
    </xf>
    <xf numFmtId="43" fontId="43" fillId="0" borderId="40" xfId="132" applyFont="1" applyBorder="1" applyAlignment="1">
      <alignment horizontal="center" vertical="center" wrapText="1"/>
    </xf>
    <xf numFmtId="43" fontId="43" fillId="0" borderId="18" xfId="132" applyFont="1" applyBorder="1" applyAlignment="1">
      <alignment horizontal="center" vertical="center" wrapText="1"/>
    </xf>
    <xf numFmtId="43" fontId="43" fillId="0" borderId="19" xfId="132" applyFont="1" applyBorder="1" applyAlignment="1">
      <alignment horizontal="center" vertical="center" wrapText="1"/>
    </xf>
    <xf numFmtId="177" fontId="43" fillId="0" borderId="18" xfId="132" applyNumberFormat="1" applyFont="1" applyBorder="1" applyAlignment="1">
      <alignment horizontal="center" vertical="center" wrapText="1"/>
    </xf>
    <xf numFmtId="177" fontId="43" fillId="0" borderId="19" xfId="132" applyNumberFormat="1" applyFont="1" applyBorder="1" applyAlignment="1">
      <alignment horizontal="center" vertical="center" wrapText="1"/>
    </xf>
    <xf numFmtId="177" fontId="45" fillId="0" borderId="18" xfId="132" applyNumberFormat="1" applyFont="1" applyBorder="1" applyAlignment="1">
      <alignment horizontal="center" vertical="center" wrapText="1"/>
    </xf>
    <xf numFmtId="177" fontId="45" fillId="0" borderId="19" xfId="132" applyNumberFormat="1" applyFont="1" applyBorder="1" applyAlignment="1">
      <alignment horizontal="center" vertical="center" wrapText="1"/>
    </xf>
    <xf numFmtId="0" fontId="80" fillId="0" borderId="18" xfId="130" applyBorder="1" applyAlignment="1">
      <alignment horizontal="left" vertical="top"/>
    </xf>
    <xf numFmtId="1" fontId="85" fillId="0" borderId="18" xfId="130" applyNumberFormat="1" applyFont="1" applyBorder="1" applyAlignment="1">
      <alignment horizontal="right" vertical="center" wrapText="1"/>
    </xf>
    <xf numFmtId="1" fontId="85" fillId="0" borderId="19" xfId="130" applyNumberFormat="1" applyFont="1" applyBorder="1" applyAlignment="1">
      <alignment horizontal="right" vertical="center" wrapText="1"/>
    </xf>
    <xf numFmtId="0" fontId="81" fillId="0" borderId="17" xfId="130" applyFont="1" applyBorder="1" applyAlignment="1">
      <alignment horizontal="center" vertical="center"/>
    </xf>
    <xf numFmtId="1" fontId="162" fillId="0" borderId="18" xfId="130" applyNumberFormat="1" applyFont="1" applyBorder="1" applyAlignment="1">
      <alignment vertical="center" shrinkToFit="1"/>
    </xf>
    <xf numFmtId="43" fontId="45" fillId="0" borderId="18" xfId="132" applyFont="1" applyBorder="1" applyAlignment="1">
      <alignment horizontal="center" vertical="center" wrapText="1"/>
    </xf>
    <xf numFmtId="43" fontId="45" fillId="0" borderId="19" xfId="132" applyFont="1" applyBorder="1" applyAlignment="1">
      <alignment horizontal="center" vertical="center" wrapText="1"/>
    </xf>
    <xf numFmtId="0" fontId="80" fillId="0" borderId="25" xfId="130" applyBorder="1" applyAlignment="1">
      <alignment horizontal="center" vertical="center" wrapText="1"/>
    </xf>
    <xf numFmtId="43" fontId="80" fillId="0" borderId="0" xfId="130" applyNumberFormat="1" applyAlignment="1">
      <alignment horizontal="center" vertical="center"/>
    </xf>
    <xf numFmtId="43" fontId="80" fillId="0" borderId="0" xfId="130" applyNumberFormat="1" applyAlignment="1">
      <alignment horizontal="left" vertical="top"/>
    </xf>
    <xf numFmtId="2" fontId="80" fillId="0" borderId="0" xfId="130" applyNumberFormat="1" applyAlignment="1">
      <alignment horizontal="center" vertical="center"/>
    </xf>
    <xf numFmtId="0" fontId="80" fillId="0" borderId="12" xfId="130" applyBorder="1" applyAlignment="1">
      <alignment vertical="center"/>
    </xf>
    <xf numFmtId="0" fontId="80" fillId="0" borderId="15" xfId="130" applyBorder="1" applyAlignment="1">
      <alignment vertical="center"/>
    </xf>
    <xf numFmtId="0" fontId="80" fillId="0" borderId="23" xfId="130" applyBorder="1" applyAlignment="1">
      <alignment vertical="center"/>
    </xf>
    <xf numFmtId="2" fontId="80" fillId="0" borderId="24" xfId="130" applyNumberFormat="1" applyBorder="1" applyAlignment="1">
      <alignment horizontal="center" vertical="center"/>
    </xf>
    <xf numFmtId="2" fontId="80" fillId="0" borderId="25" xfId="130" applyNumberFormat="1" applyBorder="1" applyAlignment="1">
      <alignment horizontal="center" vertical="center"/>
    </xf>
    <xf numFmtId="2" fontId="80" fillId="0" borderId="0" xfId="130" applyNumberFormat="1" applyAlignment="1">
      <alignment horizontal="center" vertical="top"/>
    </xf>
    <xf numFmtId="2" fontId="80" fillId="0" borderId="16" xfId="130" applyNumberFormat="1" applyBorder="1" applyAlignment="1">
      <alignment horizontal="center" vertical="top"/>
    </xf>
    <xf numFmtId="2" fontId="80" fillId="0" borderId="24" xfId="130" applyNumberFormat="1" applyBorder="1" applyAlignment="1">
      <alignment horizontal="center" vertical="top"/>
    </xf>
    <xf numFmtId="2" fontId="80" fillId="0" borderId="25" xfId="130" applyNumberFormat="1" applyBorder="1" applyAlignment="1">
      <alignment horizontal="center" vertical="top"/>
    </xf>
    <xf numFmtId="0" fontId="65" fillId="0" borderId="0" xfId="2" applyFont="1" applyAlignment="1">
      <alignment horizontal="center"/>
    </xf>
    <xf numFmtId="0" fontId="66" fillId="0" borderId="0" xfId="2" applyFont="1"/>
    <xf numFmtId="49" fontId="65" fillId="0" borderId="0" xfId="2" applyNumberFormat="1" applyFont="1" applyAlignment="1">
      <alignment horizontal="justify" vertical="top" wrapText="1"/>
    </xf>
    <xf numFmtId="49" fontId="66" fillId="0" borderId="0" xfId="2" applyNumberFormat="1" applyFont="1" applyAlignment="1">
      <alignment horizontal="left" vertical="top"/>
    </xf>
    <xf numFmtId="0" fontId="63" fillId="0" borderId="0" xfId="2" applyFont="1" applyAlignment="1">
      <alignment horizontal="center" vertical="center"/>
    </xf>
    <xf numFmtId="2" fontId="63" fillId="0" borderId="0" xfId="2" applyNumberFormat="1" applyFont="1" applyAlignment="1">
      <alignment horizontal="center"/>
    </xf>
    <xf numFmtId="10" fontId="63" fillId="0" borderId="0" xfId="3" applyNumberFormat="1" applyFont="1" applyAlignment="1">
      <alignment horizontal="center"/>
    </xf>
    <xf numFmtId="2" fontId="65" fillId="0" borderId="0" xfId="2" applyNumberFormat="1" applyFont="1" applyAlignment="1">
      <alignment horizontal="center"/>
    </xf>
    <xf numFmtId="169" fontId="65" fillId="0" borderId="0" xfId="2" applyNumberFormat="1" applyFont="1" applyAlignment="1">
      <alignment horizontal="center"/>
    </xf>
    <xf numFmtId="170" fontId="65" fillId="0" borderId="0" xfId="2" applyNumberFormat="1" applyFont="1" applyAlignment="1">
      <alignment horizontal="center"/>
    </xf>
    <xf numFmtId="170" fontId="65" fillId="0" borderId="0" xfId="1" applyNumberFormat="1" applyFont="1" applyAlignment="1">
      <alignment horizontal="center" vertical="center"/>
    </xf>
    <xf numFmtId="0" fontId="65" fillId="0" borderId="0" xfId="1" applyFont="1" applyAlignment="1">
      <alignment horizontal="center" vertical="center"/>
    </xf>
    <xf numFmtId="2" fontId="63" fillId="0" borderId="18" xfId="2" applyNumberFormat="1" applyFont="1" applyBorder="1" applyAlignment="1">
      <alignment horizontal="center" vertical="center"/>
    </xf>
    <xf numFmtId="10" fontId="63" fillId="0" borderId="18" xfId="2" applyNumberFormat="1" applyFont="1" applyBorder="1" applyAlignment="1">
      <alignment horizontal="center" vertical="center"/>
    </xf>
    <xf numFmtId="10" fontId="63" fillId="0" borderId="18" xfId="3" applyNumberFormat="1" applyFont="1" applyBorder="1" applyAlignment="1">
      <alignment horizontal="center" vertical="center"/>
    </xf>
    <xf numFmtId="169" fontId="65" fillId="0" borderId="18" xfId="2" applyNumberFormat="1" applyFont="1" applyBorder="1" applyAlignment="1">
      <alignment horizontal="center" vertical="center"/>
    </xf>
    <xf numFmtId="2" fontId="63" fillId="0" borderId="18" xfId="1" applyNumberFormat="1" applyFont="1" applyBorder="1" applyAlignment="1">
      <alignment horizontal="center" vertical="center"/>
    </xf>
    <xf numFmtId="170" fontId="65" fillId="0" borderId="18" xfId="2" applyNumberFormat="1" applyFont="1" applyBorder="1" applyAlignment="1">
      <alignment horizontal="center" vertical="center"/>
    </xf>
    <xf numFmtId="0" fontId="63" fillId="0" borderId="18" xfId="2" applyFont="1" applyBorder="1"/>
    <xf numFmtId="182" fontId="80" fillId="0" borderId="18" xfId="0" applyNumberFormat="1" applyFont="1" applyBorder="1" applyAlignment="1">
      <alignment horizontal="center" vertical="center"/>
    </xf>
    <xf numFmtId="166" fontId="65" fillId="0" borderId="18" xfId="1" applyNumberFormat="1" applyFont="1" applyBorder="1" applyAlignment="1">
      <alignment horizontal="center" vertical="center"/>
    </xf>
    <xf numFmtId="0" fontId="156" fillId="0" borderId="18" xfId="0" applyFont="1" applyBorder="1" applyAlignment="1">
      <alignment horizontal="left" vertical="center" wrapText="1"/>
    </xf>
    <xf numFmtId="2" fontId="80" fillId="0" borderId="18" xfId="0" applyNumberFormat="1" applyFont="1" applyBorder="1" applyAlignment="1">
      <alignment horizontal="center" vertical="top"/>
    </xf>
    <xf numFmtId="2" fontId="80" fillId="0" borderId="18" xfId="0" applyNumberFormat="1" applyFont="1" applyBorder="1" applyAlignment="1">
      <alignment horizontal="center" vertical="center"/>
    </xf>
    <xf numFmtId="0" fontId="155" fillId="0" borderId="14" xfId="0" applyFont="1" applyBorder="1" applyAlignment="1">
      <alignment horizontal="left" vertical="top" indent="1"/>
    </xf>
    <xf numFmtId="0" fontId="155" fillId="0" borderId="16" xfId="0" applyFont="1" applyBorder="1" applyAlignment="1">
      <alignment horizontal="left" vertical="top"/>
    </xf>
    <xf numFmtId="0" fontId="80" fillId="0" borderId="78" xfId="0" applyFont="1" applyBorder="1" applyAlignment="1">
      <alignment horizontal="left" wrapText="1"/>
    </xf>
    <xf numFmtId="1" fontId="158" fillId="0" borderId="78" xfId="0" applyNumberFormat="1" applyFont="1" applyBorder="1" applyAlignment="1">
      <alignment horizontal="center" vertical="center" shrinkToFit="1"/>
    </xf>
    <xf numFmtId="1" fontId="158" fillId="0" borderId="85" xfId="0" applyNumberFormat="1" applyFont="1" applyBorder="1" applyAlignment="1">
      <alignment horizontal="center" vertical="center" shrinkToFit="1"/>
    </xf>
    <xf numFmtId="1" fontId="158" fillId="0" borderId="70" xfId="0" applyNumberFormat="1" applyFont="1" applyBorder="1" applyAlignment="1">
      <alignment horizontal="center" vertical="center" shrinkToFit="1"/>
    </xf>
    <xf numFmtId="2" fontId="87" fillId="0" borderId="18" xfId="0" applyNumberFormat="1" applyFont="1" applyBorder="1" applyAlignment="1">
      <alignment horizontal="center" wrapText="1"/>
    </xf>
    <xf numFmtId="10" fontId="87" fillId="0" borderId="18" xfId="0" applyNumberFormat="1" applyFont="1" applyBorder="1" applyAlignment="1">
      <alignment horizontal="center" vertical="center" wrapText="1"/>
    </xf>
    <xf numFmtId="2" fontId="131" fillId="0" borderId="19" xfId="0" applyNumberFormat="1" applyFont="1" applyBorder="1" applyAlignment="1">
      <alignment horizontal="center" vertical="center" wrapText="1"/>
    </xf>
    <xf numFmtId="0" fontId="0" fillId="0" borderId="18" xfId="0" applyBorder="1" applyAlignment="1">
      <alignment horizontal="center"/>
    </xf>
    <xf numFmtId="0" fontId="80" fillId="0" borderId="18" xfId="0" applyFont="1" applyBorder="1" applyAlignment="1">
      <alignment horizontal="center"/>
    </xf>
    <xf numFmtId="1" fontId="0" fillId="0" borderId="18" xfId="0" applyNumberFormat="1" applyBorder="1" applyAlignment="1">
      <alignment horizontal="center"/>
    </xf>
    <xf numFmtId="0" fontId="103" fillId="0" borderId="86" xfId="133" applyFont="1" applyBorder="1" applyAlignment="1">
      <alignment vertical="center"/>
    </xf>
    <xf numFmtId="0" fontId="103" fillId="0" borderId="0" xfId="133" applyFont="1" applyAlignment="1">
      <alignment horizontal="left" vertical="center"/>
    </xf>
    <xf numFmtId="0" fontId="87" fillId="0" borderId="0" xfId="133" applyFont="1" applyAlignment="1">
      <alignment horizontal="center" vertical="center"/>
    </xf>
    <xf numFmtId="0" fontId="63" fillId="0" borderId="1" xfId="133" applyFont="1" applyBorder="1" applyAlignment="1">
      <alignment horizontal="center" vertical="center" wrapText="1"/>
    </xf>
    <xf numFmtId="0" fontId="87" fillId="0" borderId="1" xfId="133" applyFont="1" applyBorder="1" applyAlignment="1">
      <alignment horizontal="left" vertical="center" wrapText="1"/>
    </xf>
    <xf numFmtId="0" fontId="87" fillId="0" borderId="0" xfId="133" applyFont="1" applyAlignment="1">
      <alignment horizontal="left" vertical="center"/>
    </xf>
    <xf numFmtId="0" fontId="63" fillId="0" borderId="1" xfId="133" applyFont="1" applyBorder="1" applyAlignment="1">
      <alignment horizontal="left" vertical="center" wrapText="1"/>
    </xf>
    <xf numFmtId="1" fontId="87" fillId="0" borderId="1" xfId="133" applyNumberFormat="1" applyFont="1" applyBorder="1" applyAlignment="1">
      <alignment horizontal="center" vertical="center" shrinkToFit="1"/>
    </xf>
    <xf numFmtId="0" fontId="87" fillId="0" borderId="0" xfId="133" applyFont="1" applyAlignment="1">
      <alignment horizontal="left" vertical="top"/>
    </xf>
    <xf numFmtId="0" fontId="63" fillId="0" borderId="1" xfId="133" applyFont="1" applyBorder="1" applyAlignment="1">
      <alignment horizontal="center" vertical="top" wrapText="1"/>
    </xf>
    <xf numFmtId="0" fontId="65" fillId="0" borderId="1" xfId="133" applyFont="1" applyBorder="1" applyAlignment="1">
      <alignment horizontal="center" vertical="top" wrapText="1"/>
    </xf>
    <xf numFmtId="0" fontId="87" fillId="0" borderId="1" xfId="133" applyFont="1" applyBorder="1" applyAlignment="1">
      <alignment horizontal="center" vertical="center" wrapText="1"/>
    </xf>
    <xf numFmtId="0" fontId="132" fillId="0" borderId="0" xfId="134" applyFont="1" applyAlignment="1">
      <alignment horizontal="left" vertical="center"/>
    </xf>
    <xf numFmtId="0" fontId="132" fillId="0" borderId="0" xfId="134" applyFont="1" applyAlignment="1">
      <alignment vertical="center"/>
    </xf>
    <xf numFmtId="0" fontId="180" fillId="0" borderId="18" xfId="134" applyFont="1" applyBorder="1" applyAlignment="1">
      <alignment horizontal="center" vertical="center" wrapText="1"/>
    </xf>
    <xf numFmtId="0" fontId="87" fillId="0" borderId="7" xfId="133" applyFont="1" applyBorder="1" applyAlignment="1">
      <alignment horizontal="center" vertical="center" wrapText="1"/>
    </xf>
    <xf numFmtId="0" fontId="63" fillId="0" borderId="2" xfId="133" applyFont="1" applyBorder="1" applyAlignment="1">
      <alignment horizontal="center" vertical="center" wrapText="1"/>
    </xf>
    <xf numFmtId="2" fontId="87" fillId="0" borderId="1" xfId="133" applyNumberFormat="1" applyFont="1" applyBorder="1" applyAlignment="1">
      <alignment horizontal="center" wrapText="1"/>
    </xf>
    <xf numFmtId="2" fontId="87" fillId="0" borderId="1" xfId="133" applyNumberFormat="1" applyFont="1" applyBorder="1" applyAlignment="1">
      <alignment horizontal="center" vertical="center" wrapText="1"/>
    </xf>
    <xf numFmtId="2" fontId="0" fillId="0" borderId="0" xfId="0" applyNumberFormat="1" applyAlignment="1">
      <alignment horizontal="center" vertical="top"/>
    </xf>
    <xf numFmtId="0" fontId="87" fillId="0" borderId="0" xfId="133" applyFont="1" applyAlignment="1">
      <alignment horizontal="left" wrapText="1"/>
    </xf>
    <xf numFmtId="0" fontId="87" fillId="0" borderId="18" xfId="133" applyFont="1" applyBorder="1" applyAlignment="1">
      <alignment horizontal="left" wrapText="1"/>
    </xf>
    <xf numFmtId="0" fontId="87" fillId="0" borderId="18" xfId="133" applyFont="1" applyBorder="1" applyAlignment="1">
      <alignment horizontal="center" vertical="center" wrapText="1"/>
    </xf>
    <xf numFmtId="0" fontId="63" fillId="0" borderId="0" xfId="133" applyFont="1" applyAlignment="1">
      <alignment horizontal="left" vertical="top"/>
    </xf>
    <xf numFmtId="0" fontId="147" fillId="0" borderId="0" xfId="133" applyFont="1" applyAlignment="1">
      <alignment horizontal="left" vertical="top"/>
    </xf>
    <xf numFmtId="0" fontId="87" fillId="0" borderId="0" xfId="133" applyFont="1" applyAlignment="1">
      <alignment horizontal="left" vertical="center" wrapText="1"/>
    </xf>
    <xf numFmtId="0" fontId="63" fillId="0" borderId="18" xfId="133" applyFont="1" applyBorder="1" applyAlignment="1">
      <alignment horizontal="center" vertical="top" wrapText="1"/>
    </xf>
    <xf numFmtId="0" fontId="65" fillId="0" borderId="18" xfId="133" applyFont="1" applyBorder="1" applyAlignment="1">
      <alignment horizontal="center" vertical="top" wrapText="1"/>
    </xf>
    <xf numFmtId="0" fontId="103" fillId="0" borderId="18" xfId="133" applyFont="1" applyBorder="1" applyAlignment="1">
      <alignment horizontal="left" vertical="center" wrapText="1"/>
    </xf>
    <xf numFmtId="0" fontId="87" fillId="0" borderId="18" xfId="133" applyFont="1" applyBorder="1" applyAlignment="1">
      <alignment horizontal="left" vertical="center" wrapText="1"/>
    </xf>
    <xf numFmtId="0" fontId="103" fillId="0" borderId="18" xfId="133" applyFont="1" applyBorder="1" applyAlignment="1">
      <alignment horizontal="left" wrapText="1"/>
    </xf>
    <xf numFmtId="0" fontId="87" fillId="0" borderId="18" xfId="133" applyFont="1" applyBorder="1" applyAlignment="1">
      <alignment horizontal="left" vertical="top"/>
    </xf>
    <xf numFmtId="0" fontId="85" fillId="0" borderId="18" xfId="133" applyFont="1" applyBorder="1" applyAlignment="1">
      <alignment horizontal="right" wrapText="1"/>
    </xf>
    <xf numFmtId="2" fontId="87" fillId="0" borderId="2" xfId="133" applyNumberFormat="1" applyFont="1" applyBorder="1" applyAlignment="1">
      <alignment horizontal="center" vertical="center" wrapText="1"/>
    </xf>
    <xf numFmtId="2" fontId="87" fillId="0" borderId="18" xfId="133" applyNumberFormat="1" applyFont="1" applyBorder="1" applyAlignment="1">
      <alignment horizontal="center" vertical="top"/>
    </xf>
    <xf numFmtId="166" fontId="87" fillId="0" borderId="18" xfId="133" applyNumberFormat="1" applyFont="1" applyBorder="1" applyAlignment="1">
      <alignment horizontal="center" vertical="center"/>
    </xf>
    <xf numFmtId="0" fontId="87" fillId="0" borderId="18" xfId="133" applyFont="1" applyBorder="1" applyAlignment="1">
      <alignment horizontal="center" vertical="top"/>
    </xf>
    <xf numFmtId="0" fontId="87" fillId="0" borderId="18" xfId="133" applyFont="1" applyBorder="1" applyAlignment="1">
      <alignment horizontal="center" vertical="top" wrapText="1"/>
    </xf>
    <xf numFmtId="9" fontId="87" fillId="0" borderId="18" xfId="133" applyNumberFormat="1" applyFont="1" applyBorder="1" applyAlignment="1">
      <alignment horizontal="center" vertical="top"/>
    </xf>
    <xf numFmtId="0" fontId="88" fillId="0" borderId="18" xfId="133" applyFont="1" applyBorder="1" applyAlignment="1">
      <alignment horizontal="right" wrapText="1"/>
    </xf>
    <xf numFmtId="2" fontId="87" fillId="0" borderId="18" xfId="133" applyNumberFormat="1" applyFont="1" applyBorder="1" applyAlignment="1">
      <alignment horizontal="center" vertical="center" wrapText="1"/>
    </xf>
    <xf numFmtId="2" fontId="87" fillId="0" borderId="18" xfId="133" applyNumberFormat="1" applyFont="1" applyBorder="1" applyAlignment="1">
      <alignment horizontal="center" wrapText="1"/>
    </xf>
    <xf numFmtId="2" fontId="103" fillId="0" borderId="18" xfId="133" applyNumberFormat="1" applyFont="1" applyBorder="1" applyAlignment="1">
      <alignment horizontal="center" wrapText="1"/>
    </xf>
    <xf numFmtId="0" fontId="90" fillId="0" borderId="15" xfId="0" applyFont="1" applyBorder="1" applyAlignment="1">
      <alignment horizontal="center" vertical="center" wrapText="1"/>
    </xf>
    <xf numFmtId="0" fontId="90" fillId="0" borderId="0" xfId="0" applyFont="1" applyAlignment="1">
      <alignment horizontal="center" vertical="center" wrapText="1"/>
    </xf>
    <xf numFmtId="0" fontId="90" fillId="0" borderId="16" xfId="0" applyFont="1" applyBorder="1" applyAlignment="1">
      <alignment horizontal="center" vertical="center" wrapText="1"/>
    </xf>
    <xf numFmtId="0" fontId="132" fillId="0" borderId="18" xfId="134" applyFont="1" applyBorder="1" applyAlignment="1">
      <alignment horizontal="left" vertical="center" wrapText="1"/>
    </xf>
    <xf numFmtId="0" fontId="180" fillId="0" borderId="18" xfId="134" applyFont="1" applyBorder="1" applyAlignment="1">
      <alignment horizontal="left" vertical="center" wrapText="1"/>
    </xf>
    <xf numFmtId="0" fontId="63" fillId="0" borderId="18" xfId="1" applyFont="1" applyBorder="1"/>
    <xf numFmtId="17" fontId="132" fillId="7" borderId="18" xfId="0" applyNumberFormat="1" applyFont="1" applyFill="1" applyBorder="1" applyAlignment="1">
      <alignment horizontal="center" vertical="center"/>
    </xf>
    <xf numFmtId="4" fontId="132" fillId="7" borderId="18" xfId="4" applyNumberFormat="1" applyFont="1" applyFill="1" applyBorder="1" applyAlignment="1">
      <alignment horizontal="center" vertical="center"/>
    </xf>
    <xf numFmtId="3" fontId="132" fillId="7" borderId="18" xfId="4" applyNumberFormat="1" applyFont="1" applyFill="1" applyBorder="1" applyAlignment="1">
      <alignment horizontal="center" vertical="center"/>
    </xf>
    <xf numFmtId="17" fontId="63" fillId="0" borderId="18" xfId="1" applyNumberFormat="1" applyFont="1" applyBorder="1" applyAlignment="1">
      <alignment horizontal="center" vertical="center"/>
    </xf>
    <xf numFmtId="4" fontId="132" fillId="7" borderId="21" xfId="4" applyNumberFormat="1" applyFont="1" applyFill="1" applyBorder="1" applyAlignment="1">
      <alignment horizontal="center" vertical="center"/>
    </xf>
    <xf numFmtId="0" fontId="65" fillId="0" borderId="18" xfId="1" applyFont="1" applyBorder="1"/>
    <xf numFmtId="10" fontId="65" fillId="0" borderId="18" xfId="124" applyNumberFormat="1" applyFont="1" applyBorder="1" applyAlignment="1">
      <alignment horizontal="center" vertical="center"/>
    </xf>
    <xf numFmtId="0" fontId="63" fillId="0" borderId="18" xfId="1" applyFont="1" applyBorder="1" applyAlignment="1">
      <alignment horizontal="center" vertical="center" wrapText="1"/>
    </xf>
    <xf numFmtId="10" fontId="63" fillId="0" borderId="18" xfId="124" quotePrefix="1" applyNumberFormat="1" applyFont="1" applyBorder="1" applyAlignment="1">
      <alignment horizontal="center" vertical="center"/>
    </xf>
    <xf numFmtId="10" fontId="63" fillId="0" borderId="18" xfId="124" applyNumberFormat="1" applyFont="1" applyBorder="1" applyAlignment="1">
      <alignment horizontal="center" vertical="center"/>
    </xf>
    <xf numFmtId="9" fontId="63" fillId="0" borderId="0" xfId="1" applyNumberFormat="1" applyFont="1"/>
    <xf numFmtId="2" fontId="94" fillId="0" borderId="18" xfId="121" applyNumberFormat="1" applyFont="1" applyBorder="1" applyAlignment="1">
      <alignment horizontal="center" vertical="center" wrapText="1"/>
    </xf>
    <xf numFmtId="0" fontId="94" fillId="0" borderId="18" xfId="121" applyFont="1" applyBorder="1" applyAlignment="1">
      <alignment horizontal="center" vertical="center"/>
    </xf>
    <xf numFmtId="0" fontId="13" fillId="0" borderId="19" xfId="121" applyBorder="1" applyAlignment="1">
      <alignment horizontal="center" wrapText="1"/>
    </xf>
    <xf numFmtId="2" fontId="91" fillId="0" borderId="19" xfId="121" applyNumberFormat="1" applyFont="1" applyBorder="1" applyAlignment="1">
      <alignment horizontal="center" vertical="center" wrapText="1"/>
    </xf>
    <xf numFmtId="2" fontId="167" fillId="0" borderId="19" xfId="125" applyNumberFormat="1" applyFont="1" applyBorder="1" applyAlignment="1">
      <alignment horizontal="center" vertical="center"/>
    </xf>
    <xf numFmtId="2" fontId="132" fillId="0" borderId="19" xfId="125" applyNumberFormat="1" applyFont="1" applyBorder="1" applyAlignment="1">
      <alignment horizontal="center" vertical="center"/>
    </xf>
    <xf numFmtId="10" fontId="167" fillId="0" borderId="19" xfId="124" applyNumberFormat="1" applyFont="1" applyBorder="1" applyAlignment="1">
      <alignment horizontal="center" vertical="center"/>
    </xf>
    <xf numFmtId="2" fontId="132" fillId="0" borderId="19" xfId="125" applyNumberFormat="1" applyFont="1" applyBorder="1" applyAlignment="1">
      <alignment horizontal="center"/>
    </xf>
    <xf numFmtId="2" fontId="126" fillId="0" borderId="19" xfId="125" applyNumberFormat="1" applyFont="1" applyBorder="1" applyAlignment="1">
      <alignment horizontal="center" vertical="center"/>
    </xf>
    <xf numFmtId="2" fontId="126" fillId="0" borderId="22" xfId="125" applyNumberFormat="1" applyFont="1" applyBorder="1" applyAlignment="1">
      <alignment horizontal="center" vertical="center"/>
    </xf>
    <xf numFmtId="2" fontId="126" fillId="0" borderId="35" xfId="125" applyNumberFormat="1" applyFont="1" applyBorder="1" applyAlignment="1">
      <alignment horizontal="center" vertical="center"/>
    </xf>
    <xf numFmtId="0" fontId="81" fillId="0" borderId="14" xfId="0" applyFont="1" applyBorder="1" applyAlignment="1">
      <alignment horizontal="center" vertical="center"/>
    </xf>
    <xf numFmtId="0" fontId="94" fillId="0" borderId="16" xfId="0" applyFont="1" applyBorder="1" applyAlignment="1">
      <alignment vertical="center" wrapText="1"/>
    </xf>
    <xf numFmtId="0" fontId="94" fillId="0" borderId="40" xfId="0" applyFont="1" applyBorder="1" applyAlignment="1">
      <alignment horizontal="center" vertical="center" wrapText="1"/>
    </xf>
    <xf numFmtId="4" fontId="94" fillId="0" borderId="19" xfId="0" applyNumberFormat="1" applyFont="1" applyBorder="1" applyAlignment="1">
      <alignment horizontal="center" vertical="center" wrapText="1"/>
    </xf>
    <xf numFmtId="2" fontId="94" fillId="0" borderId="19" xfId="0" applyNumberFormat="1" applyFont="1" applyBorder="1" applyAlignment="1">
      <alignment horizontal="center" vertical="center" wrapText="1"/>
    </xf>
    <xf numFmtId="10" fontId="91" fillId="0" borderId="19" xfId="0" applyNumberFormat="1" applyFont="1" applyBorder="1" applyAlignment="1">
      <alignment horizontal="center" vertical="center" wrapText="1"/>
    </xf>
    <xf numFmtId="4" fontId="0" fillId="0" borderId="19" xfId="0" applyNumberFormat="1" applyBorder="1" applyAlignment="1">
      <alignment horizontal="center" vertical="center"/>
    </xf>
    <xf numFmtId="4" fontId="118" fillId="0" borderId="19" xfId="0" applyNumberFormat="1" applyFont="1" applyBorder="1" applyAlignment="1">
      <alignment horizontal="center" vertical="center" wrapText="1"/>
    </xf>
    <xf numFmtId="166" fontId="94" fillId="0" borderId="19" xfId="0" applyNumberFormat="1" applyFont="1" applyBorder="1" applyAlignment="1">
      <alignment horizontal="center" vertical="center" wrapText="1"/>
    </xf>
    <xf numFmtId="166" fontId="0" fillId="0" borderId="19" xfId="0" applyNumberFormat="1" applyBorder="1" applyAlignment="1">
      <alignment horizontal="center" vertical="center"/>
    </xf>
    <xf numFmtId="166" fontId="118" fillId="0" borderId="19" xfId="0" applyNumberFormat="1" applyFont="1" applyBorder="1" applyAlignment="1">
      <alignment horizontal="center" vertical="center" wrapText="1"/>
    </xf>
    <xf numFmtId="2" fontId="118" fillId="0" borderId="19" xfId="0" applyNumberFormat="1" applyFont="1" applyBorder="1" applyAlignment="1">
      <alignment horizontal="center" vertical="center" wrapText="1"/>
    </xf>
    <xf numFmtId="10" fontId="119" fillId="0" borderId="19" xfId="0" applyNumberFormat="1" applyFont="1" applyBorder="1" applyAlignment="1">
      <alignment horizontal="center" vertical="center" wrapText="1"/>
    </xf>
    <xf numFmtId="0" fontId="95" fillId="0" borderId="16" xfId="0" applyFont="1" applyBorder="1" applyAlignment="1">
      <alignment vertical="center"/>
    </xf>
    <xf numFmtId="0" fontId="120" fillId="0" borderId="16" xfId="0" applyFont="1" applyBorder="1" applyAlignment="1">
      <alignment horizontal="center" vertical="center" wrapText="1"/>
    </xf>
    <xf numFmtId="0" fontId="95" fillId="0" borderId="25" xfId="0" applyFont="1" applyBorder="1" applyAlignment="1">
      <alignment vertical="center"/>
    </xf>
    <xf numFmtId="0" fontId="81" fillId="0" borderId="16" xfId="0" applyFont="1" applyBorder="1" applyAlignment="1">
      <alignment horizontal="center" vertical="center"/>
    </xf>
    <xf numFmtId="10" fontId="0" fillId="0" borderId="18" xfId="124" applyNumberFormat="1" applyFont="1" applyBorder="1" applyAlignment="1">
      <alignment horizontal="center" vertical="center"/>
    </xf>
    <xf numFmtId="2" fontId="80" fillId="0" borderId="19" xfId="0" applyNumberFormat="1" applyFont="1" applyBorder="1" applyAlignment="1">
      <alignment horizontal="center" vertical="center"/>
    </xf>
    <xf numFmtId="2" fontId="80" fillId="0" borderId="19" xfId="0" applyNumberFormat="1" applyFont="1" applyBorder="1" applyAlignment="1">
      <alignment horizontal="center" vertical="top"/>
    </xf>
    <xf numFmtId="0" fontId="138" fillId="0" borderId="16" xfId="0" applyFont="1" applyBorder="1" applyAlignment="1">
      <alignment horizontal="center" vertical="center" wrapText="1"/>
    </xf>
    <xf numFmtId="0" fontId="104" fillId="0" borderId="16" xfId="0" applyFont="1" applyBorder="1" applyAlignment="1">
      <alignment vertical="center"/>
    </xf>
    <xf numFmtId="0" fontId="104" fillId="0" borderId="16" xfId="0" applyFont="1" applyBorder="1" applyAlignment="1">
      <alignment vertical="center" wrapText="1"/>
    </xf>
    <xf numFmtId="0" fontId="103" fillId="0" borderId="19" xfId="0" applyFont="1" applyBorder="1" applyAlignment="1">
      <alignment horizontal="center" vertical="center"/>
    </xf>
    <xf numFmtId="4" fontId="115" fillId="0" borderId="19" xfId="0" applyNumberFormat="1" applyFont="1" applyBorder="1" applyAlignment="1">
      <alignment horizontal="center" vertical="center" wrapText="1"/>
    </xf>
    <xf numFmtId="10" fontId="115" fillId="0" borderId="19" xfId="124" applyNumberFormat="1" applyFont="1" applyBorder="1" applyAlignment="1">
      <alignment horizontal="center" vertical="center" wrapText="1"/>
    </xf>
    <xf numFmtId="10" fontId="87" fillId="0" borderId="19" xfId="0" applyNumberFormat="1" applyFont="1" applyBorder="1" applyAlignment="1">
      <alignment horizontal="center" vertical="center"/>
    </xf>
    <xf numFmtId="10" fontId="87" fillId="0" borderId="19" xfId="124" applyNumberFormat="1" applyFont="1" applyBorder="1" applyAlignment="1">
      <alignment horizontal="center" vertical="center"/>
    </xf>
    <xf numFmtId="0" fontId="0" fillId="0" borderId="23" xfId="0" applyBorder="1" applyAlignment="1">
      <alignment horizontal="center" vertical="center"/>
    </xf>
    <xf numFmtId="0" fontId="181" fillId="0" borderId="0" xfId="133" applyFont="1" applyAlignment="1">
      <alignment horizontal="left" vertical="top"/>
    </xf>
    <xf numFmtId="0" fontId="108" fillId="0" borderId="12" xfId="133" applyFont="1" applyBorder="1" applyAlignment="1">
      <alignment horizontal="left" vertical="center"/>
    </xf>
    <xf numFmtId="0" fontId="87" fillId="0" borderId="13" xfId="133" applyFont="1" applyBorder="1" applyAlignment="1">
      <alignment horizontal="left" vertical="top"/>
    </xf>
    <xf numFmtId="0" fontId="87" fillId="0" borderId="14" xfId="133" applyFont="1" applyBorder="1" applyAlignment="1">
      <alignment horizontal="left" vertical="top"/>
    </xf>
    <xf numFmtId="0" fontId="87" fillId="0" borderId="15" xfId="133" applyFont="1" applyBorder="1" applyAlignment="1">
      <alignment horizontal="left" vertical="top"/>
    </xf>
    <xf numFmtId="0" fontId="87" fillId="0" borderId="16" xfId="133" applyFont="1" applyBorder="1" applyAlignment="1">
      <alignment horizontal="left" vertical="top"/>
    </xf>
    <xf numFmtId="0" fontId="103" fillId="0" borderId="15" xfId="133" applyFont="1" applyBorder="1" applyAlignment="1">
      <alignment horizontal="left" vertical="center"/>
    </xf>
    <xf numFmtId="0" fontId="63" fillId="0" borderId="19" xfId="133" applyFont="1" applyBorder="1" applyAlignment="1">
      <alignment horizontal="center" vertical="top" wrapText="1"/>
    </xf>
    <xf numFmtId="0" fontId="65" fillId="0" borderId="19" xfId="133" applyFont="1" applyBorder="1" applyAlignment="1">
      <alignment horizontal="center" vertical="top" wrapText="1"/>
    </xf>
    <xf numFmtId="0" fontId="87" fillId="0" borderId="17" xfId="133" applyFont="1" applyBorder="1" applyAlignment="1">
      <alignment horizontal="left" vertical="top"/>
    </xf>
    <xf numFmtId="9" fontId="87" fillId="0" borderId="19" xfId="133" applyNumberFormat="1" applyFont="1" applyBorder="1" applyAlignment="1">
      <alignment horizontal="center" vertical="top"/>
    </xf>
    <xf numFmtId="166" fontId="87" fillId="0" borderId="19" xfId="133" applyNumberFormat="1" applyFont="1" applyBorder="1" applyAlignment="1">
      <alignment horizontal="center" vertical="center"/>
    </xf>
    <xf numFmtId="0" fontId="87" fillId="0" borderId="17" xfId="133" applyFont="1" applyBorder="1" applyAlignment="1">
      <alignment horizontal="left" vertical="top" wrapText="1"/>
    </xf>
    <xf numFmtId="0" fontId="87" fillId="0" borderId="19" xfId="133" applyFont="1" applyBorder="1" applyAlignment="1">
      <alignment horizontal="center" vertical="top"/>
    </xf>
    <xf numFmtId="2" fontId="87" fillId="0" borderId="19" xfId="133" applyNumberFormat="1" applyFont="1" applyBorder="1" applyAlignment="1">
      <alignment horizontal="center" vertical="top"/>
    </xf>
    <xf numFmtId="0" fontId="87" fillId="0" borderId="23" xfId="133" applyFont="1" applyBorder="1" applyAlignment="1">
      <alignment horizontal="left" vertical="top"/>
    </xf>
    <xf numFmtId="0" fontId="87" fillId="0" borderId="24" xfId="133" applyFont="1" applyBorder="1" applyAlignment="1">
      <alignment horizontal="left" vertical="top"/>
    </xf>
    <xf numFmtId="0" fontId="87" fillId="0" borderId="25" xfId="133" applyFont="1" applyBorder="1" applyAlignment="1">
      <alignment horizontal="left" vertical="top"/>
    </xf>
    <xf numFmtId="0" fontId="87" fillId="0" borderId="12" xfId="133" applyFont="1" applyBorder="1" applyAlignment="1">
      <alignment horizontal="left" vertical="top"/>
    </xf>
    <xf numFmtId="0" fontId="87" fillId="0" borderId="17" xfId="133" applyFont="1" applyBorder="1" applyAlignment="1">
      <alignment horizontal="center" vertical="center"/>
    </xf>
    <xf numFmtId="0" fontId="87" fillId="0" borderId="19" xfId="133" applyFont="1" applyBorder="1" applyAlignment="1">
      <alignment horizontal="left" vertical="center" wrapText="1"/>
    </xf>
    <xf numFmtId="2" fontId="87" fillId="0" borderId="19" xfId="133" applyNumberFormat="1" applyFont="1" applyBorder="1" applyAlignment="1">
      <alignment horizontal="center" vertical="center" wrapText="1"/>
    </xf>
    <xf numFmtId="2" fontId="87" fillId="0" borderId="19" xfId="133" applyNumberFormat="1" applyFont="1" applyBorder="1" applyAlignment="1">
      <alignment horizontal="center" wrapText="1"/>
    </xf>
    <xf numFmtId="2" fontId="103" fillId="0" borderId="19" xfId="133" applyNumberFormat="1" applyFont="1" applyBorder="1" applyAlignment="1">
      <alignment horizontal="center" wrapText="1"/>
    </xf>
    <xf numFmtId="0" fontId="87" fillId="0" borderId="17" xfId="133" applyFont="1" applyBorder="1" applyAlignment="1">
      <alignment horizontal="center" vertical="top"/>
    </xf>
    <xf numFmtId="0" fontId="103" fillId="0" borderId="17" xfId="133" applyFont="1" applyBorder="1" applyAlignment="1">
      <alignment horizontal="center" vertical="top"/>
    </xf>
    <xf numFmtId="0" fontId="87" fillId="0" borderId="16" xfId="133" applyFont="1" applyBorder="1" applyAlignment="1">
      <alignment horizontal="left" wrapText="1"/>
    </xf>
    <xf numFmtId="0" fontId="87" fillId="0" borderId="24" xfId="133" applyFont="1" applyBorder="1" applyAlignment="1">
      <alignment horizontal="left" wrapText="1"/>
    </xf>
    <xf numFmtId="0" fontId="87" fillId="0" borderId="25" xfId="133" applyFont="1" applyBorder="1" applyAlignment="1">
      <alignment horizontal="left" wrapText="1"/>
    </xf>
    <xf numFmtId="0" fontId="181" fillId="0" borderId="12" xfId="133" applyFont="1" applyBorder="1" applyAlignment="1">
      <alignment horizontal="left" vertical="center"/>
    </xf>
    <xf numFmtId="0" fontId="147" fillId="0" borderId="13" xfId="133" applyFont="1" applyBorder="1" applyAlignment="1">
      <alignment horizontal="left" vertical="top"/>
    </xf>
    <xf numFmtId="0" fontId="180" fillId="0" borderId="15" xfId="133" applyFont="1" applyBorder="1" applyAlignment="1">
      <alignment horizontal="left" vertical="center"/>
    </xf>
    <xf numFmtId="0" fontId="182" fillId="0" borderId="15" xfId="133" applyFont="1" applyBorder="1" applyAlignment="1">
      <alignment horizontal="left" vertical="center"/>
    </xf>
    <xf numFmtId="0" fontId="183" fillId="0" borderId="0" xfId="133" applyFont="1" applyAlignment="1">
      <alignment horizontal="left" vertical="top"/>
    </xf>
    <xf numFmtId="0" fontId="65" fillId="6" borderId="70" xfId="133" applyFont="1" applyFill="1" applyBorder="1" applyAlignment="1">
      <alignment horizontal="left" vertical="top" wrapText="1" indent="8"/>
    </xf>
    <xf numFmtId="0" fontId="63" fillId="0" borderId="44" xfId="133" applyFont="1" applyBorder="1" applyAlignment="1">
      <alignment horizontal="center" vertical="top" wrapText="1"/>
    </xf>
    <xf numFmtId="0" fontId="63" fillId="0" borderId="45" xfId="133" applyFont="1" applyBorder="1" applyAlignment="1">
      <alignment horizontal="center" vertical="top" wrapText="1"/>
    </xf>
    <xf numFmtId="0" fontId="65" fillId="0" borderId="44" xfId="133" applyFont="1" applyBorder="1" applyAlignment="1">
      <alignment horizontal="center" vertical="top" wrapText="1"/>
    </xf>
    <xf numFmtId="0" fontId="65" fillId="0" borderId="45" xfId="133" applyFont="1" applyBorder="1" applyAlignment="1">
      <alignment horizontal="center" vertical="top" wrapText="1"/>
    </xf>
    <xf numFmtId="0" fontId="104" fillId="0" borderId="44" xfId="133" applyFont="1" applyBorder="1" applyAlignment="1">
      <alignment horizontal="left" vertical="center" wrapText="1"/>
    </xf>
    <xf numFmtId="0" fontId="87" fillId="0" borderId="45" xfId="133" applyFont="1" applyBorder="1" applyAlignment="1">
      <alignment horizontal="left" vertical="center" wrapText="1"/>
    </xf>
    <xf numFmtId="0" fontId="87" fillId="0" borderId="44" xfId="133" applyFont="1" applyBorder="1" applyAlignment="1">
      <alignment horizontal="left" vertical="center" wrapText="1"/>
    </xf>
    <xf numFmtId="2" fontId="87" fillId="0" borderId="45" xfId="133" applyNumberFormat="1" applyFont="1" applyBorder="1" applyAlignment="1">
      <alignment horizontal="center" wrapText="1"/>
    </xf>
    <xf numFmtId="0" fontId="87" fillId="0" borderId="44" xfId="133" applyFont="1" applyBorder="1" applyAlignment="1">
      <alignment horizontal="left" wrapText="1"/>
    </xf>
    <xf numFmtId="0" fontId="87" fillId="0" borderId="45" xfId="133" applyFont="1" applyBorder="1" applyAlignment="1">
      <alignment horizontal="center" vertical="center" wrapText="1"/>
    </xf>
    <xf numFmtId="0" fontId="80" fillId="0" borderId="15" xfId="0" applyFont="1" applyBorder="1" applyAlignment="1">
      <alignment horizontal="left" vertical="top" wrapText="1"/>
    </xf>
    <xf numFmtId="0" fontId="103" fillId="0" borderId="44" xfId="133" applyFont="1" applyBorder="1" applyAlignment="1">
      <alignment horizontal="left" vertical="center" wrapText="1"/>
    </xf>
    <xf numFmtId="2" fontId="87" fillId="0" borderId="45" xfId="133" applyNumberFormat="1" applyFont="1" applyBorder="1" applyAlignment="1">
      <alignment horizontal="center" vertical="center" wrapText="1"/>
    </xf>
    <xf numFmtId="2" fontId="0" fillId="0" borderId="16" xfId="0" applyNumberFormat="1" applyBorder="1" applyAlignment="1">
      <alignment horizontal="center" vertical="top"/>
    </xf>
    <xf numFmtId="0" fontId="103" fillId="0" borderId="73" xfId="133" applyFont="1" applyBorder="1" applyAlignment="1">
      <alignment horizontal="left" vertical="center" wrapText="1"/>
    </xf>
    <xf numFmtId="0" fontId="87" fillId="0" borderId="90" xfId="133" applyFont="1" applyBorder="1" applyAlignment="1">
      <alignment horizontal="center" vertical="center" wrapText="1"/>
    </xf>
    <xf numFmtId="0" fontId="87" fillId="0" borderId="17" xfId="133" applyFont="1" applyBorder="1" applyAlignment="1">
      <alignment horizontal="left" wrapText="1"/>
    </xf>
    <xf numFmtId="0" fontId="87" fillId="0" borderId="19" xfId="133" applyFont="1" applyBorder="1" applyAlignment="1">
      <alignment horizontal="center" vertical="center" wrapText="1"/>
    </xf>
    <xf numFmtId="0" fontId="87" fillId="0" borderId="15" xfId="133" applyFont="1" applyBorder="1" applyAlignment="1">
      <alignment horizontal="left" wrapText="1"/>
    </xf>
    <xf numFmtId="0" fontId="87" fillId="0" borderId="12" xfId="133" applyFont="1" applyBorder="1" applyAlignment="1">
      <alignment horizontal="left" vertical="center"/>
    </xf>
    <xf numFmtId="0" fontId="87" fillId="0" borderId="13" xfId="133" applyFont="1" applyBorder="1" applyAlignment="1">
      <alignment horizontal="left" vertical="center"/>
    </xf>
    <xf numFmtId="0" fontId="103" fillId="0" borderId="13" xfId="133" applyFont="1" applyBorder="1" applyAlignment="1">
      <alignment vertical="center"/>
    </xf>
    <xf numFmtId="0" fontId="87" fillId="0" borderId="14" xfId="133" applyFont="1" applyBorder="1" applyAlignment="1">
      <alignment horizontal="left" vertical="center"/>
    </xf>
    <xf numFmtId="0" fontId="87" fillId="0" borderId="15" xfId="133" applyFont="1" applyBorder="1" applyAlignment="1">
      <alignment horizontal="left" vertical="center"/>
    </xf>
    <xf numFmtId="0" fontId="87" fillId="0" borderId="16" xfId="133" applyFont="1" applyBorder="1" applyAlignment="1">
      <alignment horizontal="left" vertical="center"/>
    </xf>
    <xf numFmtId="0" fontId="87" fillId="0" borderId="91" xfId="133" applyFont="1" applyBorder="1" applyAlignment="1">
      <alignment vertical="center"/>
    </xf>
    <xf numFmtId="0" fontId="63" fillId="0" borderId="45" xfId="133" applyFont="1" applyBorder="1" applyAlignment="1">
      <alignment horizontal="center" vertical="center" wrapText="1"/>
    </xf>
    <xf numFmtId="0" fontId="63" fillId="0" borderId="19" xfId="1" applyFont="1" applyBorder="1" applyAlignment="1">
      <alignment horizontal="center" vertical="center"/>
    </xf>
    <xf numFmtId="183" fontId="87" fillId="0" borderId="44" xfId="133" applyNumberFormat="1" applyFont="1" applyBorder="1" applyAlignment="1">
      <alignment horizontal="center" vertical="center" shrinkToFit="1"/>
    </xf>
    <xf numFmtId="0" fontId="63" fillId="0" borderId="15" xfId="133" applyFont="1" applyBorder="1" applyAlignment="1">
      <alignment horizontal="left" vertical="center"/>
    </xf>
    <xf numFmtId="0" fontId="63" fillId="0" borderId="16" xfId="133" applyFont="1" applyBorder="1" applyAlignment="1">
      <alignment horizontal="left" vertical="center"/>
    </xf>
    <xf numFmtId="0" fontId="87" fillId="0" borderId="23" xfId="133" applyFont="1" applyBorder="1" applyAlignment="1">
      <alignment horizontal="left" vertical="center"/>
    </xf>
    <xf numFmtId="0" fontId="87" fillId="0" borderId="24" xfId="133" applyFont="1" applyBorder="1" applyAlignment="1">
      <alignment horizontal="left" vertical="center"/>
    </xf>
    <xf numFmtId="0" fontId="87" fillId="0" borderId="25" xfId="133" applyFont="1" applyBorder="1" applyAlignment="1">
      <alignment horizontal="left" vertical="center"/>
    </xf>
    <xf numFmtId="0" fontId="131" fillId="0" borderId="0" xfId="133" applyFont="1" applyAlignment="1">
      <alignment horizontal="left" vertical="center"/>
    </xf>
    <xf numFmtId="2" fontId="132" fillId="0" borderId="1" xfId="134" applyNumberFormat="1" applyFont="1" applyBorder="1" applyAlignment="1">
      <alignment horizontal="center" vertical="center" wrapText="1"/>
    </xf>
    <xf numFmtId="2" fontId="132" fillId="0" borderId="11" xfId="134" applyNumberFormat="1" applyFont="1" applyBorder="1" applyAlignment="1">
      <alignment horizontal="center" vertical="center" wrapText="1"/>
    </xf>
    <xf numFmtId="2" fontId="132" fillId="0" borderId="18" xfId="134" applyNumberFormat="1" applyFont="1" applyBorder="1" applyAlignment="1">
      <alignment horizontal="center" vertical="center" wrapText="1"/>
    </xf>
    <xf numFmtId="2" fontId="180" fillId="0" borderId="18" xfId="134" applyNumberFormat="1" applyFont="1" applyBorder="1" applyAlignment="1">
      <alignment horizontal="center" vertical="center" wrapText="1"/>
    </xf>
    <xf numFmtId="2" fontId="132" fillId="0" borderId="18" xfId="134" applyNumberFormat="1" applyFont="1" applyBorder="1" applyAlignment="1">
      <alignment horizontal="center" vertical="center"/>
    </xf>
    <xf numFmtId="10" fontId="132" fillId="0" borderId="1" xfId="124" applyNumberFormat="1" applyFont="1" applyBorder="1" applyAlignment="1">
      <alignment horizontal="center" vertical="center" wrapText="1"/>
    </xf>
    <xf numFmtId="0" fontId="180" fillId="0" borderId="0" xfId="134" applyFont="1" applyAlignment="1">
      <alignment horizontal="left" vertical="center" wrapText="1"/>
    </xf>
    <xf numFmtId="10" fontId="132" fillId="0" borderId="0" xfId="124" applyNumberFormat="1" applyFont="1" applyAlignment="1">
      <alignment horizontal="center" vertical="center" wrapText="1"/>
    </xf>
    <xf numFmtId="0" fontId="142" fillId="0" borderId="15" xfId="134" applyFont="1" applyBorder="1" applyAlignment="1">
      <alignment horizontal="center" vertical="center" wrapText="1"/>
    </xf>
    <xf numFmtId="0" fontId="142" fillId="0" borderId="0" xfId="134" applyFont="1" applyAlignment="1">
      <alignment horizontal="center" vertical="center" wrapText="1"/>
    </xf>
    <xf numFmtId="0" fontId="142" fillId="0" borderId="16" xfId="134" applyFont="1" applyBorder="1" applyAlignment="1">
      <alignment horizontal="center" vertical="center" wrapText="1"/>
    </xf>
    <xf numFmtId="0" fontId="142" fillId="0" borderId="15" xfId="134" applyFont="1" applyBorder="1" applyAlignment="1">
      <alignment horizontal="left" vertical="center"/>
    </xf>
    <xf numFmtId="0" fontId="142" fillId="0" borderId="0" xfId="134" applyFont="1" applyAlignment="1">
      <alignment horizontal="left" vertical="center"/>
    </xf>
    <xf numFmtId="0" fontId="180" fillId="0" borderId="16" xfId="134" applyFont="1" applyBorder="1" applyAlignment="1">
      <alignment horizontal="left" vertical="center" wrapText="1"/>
    </xf>
    <xf numFmtId="0" fontId="180" fillId="0" borderId="15" xfId="134" applyFont="1" applyBorder="1" applyAlignment="1">
      <alignment horizontal="left" vertical="center" wrapText="1"/>
    </xf>
    <xf numFmtId="0" fontId="180" fillId="0" borderId="49" xfId="134" applyFont="1" applyBorder="1" applyAlignment="1">
      <alignment horizontal="center" vertical="center" wrapText="1"/>
    </xf>
    <xf numFmtId="0" fontId="180" fillId="0" borderId="19" xfId="134" applyFont="1" applyBorder="1" applyAlignment="1">
      <alignment horizontal="center" vertical="center" wrapText="1"/>
    </xf>
    <xf numFmtId="2" fontId="132" fillId="0" borderId="19" xfId="134" applyNumberFormat="1" applyFont="1" applyBorder="1" applyAlignment="1">
      <alignment horizontal="center" vertical="center" wrapText="1"/>
    </xf>
    <xf numFmtId="2" fontId="132" fillId="0" borderId="19" xfId="134" applyNumberFormat="1" applyFont="1" applyBorder="1" applyAlignment="1">
      <alignment horizontal="center" vertical="center"/>
    </xf>
    <xf numFmtId="2" fontId="132" fillId="0" borderId="93" xfId="134" applyNumberFormat="1" applyFont="1" applyBorder="1" applyAlignment="1">
      <alignment horizontal="center" vertical="center" wrapText="1"/>
    </xf>
    <xf numFmtId="2" fontId="132" fillId="0" borderId="45" xfId="134" applyNumberFormat="1" applyFont="1" applyBorder="1" applyAlignment="1">
      <alignment horizontal="center" vertical="center" wrapText="1"/>
    </xf>
    <xf numFmtId="10" fontId="132" fillId="0" borderId="45" xfId="124" applyNumberFormat="1" applyFont="1" applyBorder="1" applyAlignment="1">
      <alignment horizontal="center" vertical="center" wrapText="1"/>
    </xf>
    <xf numFmtId="10" fontId="132" fillId="0" borderId="16" xfId="124" applyNumberFormat="1" applyFont="1" applyBorder="1" applyAlignment="1">
      <alignment horizontal="center" vertical="center" wrapText="1"/>
    </xf>
    <xf numFmtId="0" fontId="180" fillId="0" borderId="15" xfId="134" applyFont="1" applyBorder="1" applyAlignment="1">
      <alignment horizontal="left" vertical="center"/>
    </xf>
    <xf numFmtId="0" fontId="132" fillId="0" borderId="16" xfId="134" applyFont="1" applyBorder="1" applyAlignment="1">
      <alignment horizontal="left" vertical="center"/>
    </xf>
    <xf numFmtId="0" fontId="132" fillId="0" borderId="15" xfId="134" applyFont="1" applyBorder="1" applyAlignment="1">
      <alignment vertical="center"/>
    </xf>
    <xf numFmtId="0" fontId="132" fillId="0" borderId="16" xfId="134" applyFont="1" applyBorder="1" applyAlignment="1">
      <alignment vertical="center"/>
    </xf>
    <xf numFmtId="0" fontId="132" fillId="0" borderId="23" xfId="134" applyFont="1" applyBorder="1" applyAlignment="1">
      <alignment vertical="center"/>
    </xf>
    <xf numFmtId="0" fontId="132" fillId="0" borderId="24" xfId="134" applyFont="1" applyBorder="1" applyAlignment="1">
      <alignment vertical="center"/>
    </xf>
    <xf numFmtId="0" fontId="132" fillId="0" borderId="25" xfId="134" applyFont="1" applyBorder="1" applyAlignment="1">
      <alignment vertical="center"/>
    </xf>
    <xf numFmtId="10" fontId="132" fillId="0" borderId="7" xfId="124" applyNumberFormat="1" applyFont="1" applyBorder="1" applyAlignment="1">
      <alignment horizontal="center" vertical="center" wrapText="1"/>
    </xf>
    <xf numFmtId="10" fontId="132" fillId="0" borderId="18" xfId="124" applyNumberFormat="1" applyFont="1" applyBorder="1" applyAlignment="1">
      <alignment horizontal="center" vertical="center" wrapText="1"/>
    </xf>
    <xf numFmtId="2" fontId="132" fillId="0" borderId="31" xfId="134" applyNumberFormat="1" applyFont="1" applyBorder="1" applyAlignment="1">
      <alignment horizontal="center" vertical="center" wrapText="1"/>
    </xf>
    <xf numFmtId="2" fontId="180" fillId="0" borderId="31" xfId="134" applyNumberFormat="1" applyFont="1" applyBorder="1" applyAlignment="1">
      <alignment horizontal="center" vertical="center" wrapText="1"/>
    </xf>
    <xf numFmtId="2" fontId="132" fillId="0" borderId="31" xfId="134" applyNumberFormat="1" applyFont="1" applyBorder="1" applyAlignment="1">
      <alignment horizontal="center" vertical="center"/>
    </xf>
    <xf numFmtId="2" fontId="132" fillId="0" borderId="10" xfId="134" applyNumberFormat="1" applyFont="1" applyBorder="1" applyAlignment="1">
      <alignment horizontal="center" vertical="center" wrapText="1"/>
    </xf>
    <xf numFmtId="2" fontId="132" fillId="0" borderId="4" xfId="134" applyNumberFormat="1" applyFont="1" applyBorder="1" applyAlignment="1">
      <alignment horizontal="center" vertical="center" wrapText="1"/>
    </xf>
    <xf numFmtId="0" fontId="180" fillId="0" borderId="92" xfId="134" applyFont="1" applyBorder="1" applyAlignment="1">
      <alignment horizontal="left" vertical="center" wrapText="1"/>
    </xf>
    <xf numFmtId="2" fontId="103" fillId="0" borderId="18" xfId="133" applyNumberFormat="1" applyFont="1" applyBorder="1" applyAlignment="1">
      <alignment horizontal="center" vertical="center" wrapText="1"/>
    </xf>
    <xf numFmtId="2" fontId="103" fillId="0" borderId="19" xfId="133" applyNumberFormat="1" applyFont="1" applyBorder="1" applyAlignment="1">
      <alignment horizontal="center" vertical="center" wrapText="1"/>
    </xf>
    <xf numFmtId="0" fontId="87" fillId="0" borderId="0" xfId="133" applyFont="1" applyAlignment="1">
      <alignment horizontal="left" vertical="top" wrapText="1"/>
    </xf>
    <xf numFmtId="2" fontId="87" fillId="0" borderId="18" xfId="133" applyNumberFormat="1" applyFont="1" applyBorder="1" applyAlignment="1">
      <alignment horizontal="center" vertical="center"/>
    </xf>
    <xf numFmtId="0" fontId="65" fillId="0" borderId="18" xfId="133" applyFont="1" applyBorder="1" applyAlignment="1">
      <alignment horizontal="left" vertical="top" wrapText="1" indent="8"/>
    </xf>
    <xf numFmtId="17" fontId="132" fillId="3" borderId="18" xfId="0" applyNumberFormat="1" applyFont="1" applyFill="1" applyBorder="1" applyAlignment="1">
      <alignment horizontal="center" vertical="center"/>
    </xf>
    <xf numFmtId="4" fontId="132" fillId="3" borderId="18" xfId="4" applyNumberFormat="1" applyFont="1" applyFill="1" applyBorder="1" applyAlignment="1">
      <alignment horizontal="center" vertical="center"/>
    </xf>
    <xf numFmtId="4" fontId="132" fillId="8" borderId="18" xfId="4" applyNumberFormat="1" applyFont="1" applyFill="1" applyBorder="1" applyAlignment="1">
      <alignment horizontal="center" vertical="center"/>
    </xf>
    <xf numFmtId="4" fontId="132" fillId="9" borderId="18" xfId="4" applyNumberFormat="1" applyFont="1" applyFill="1" applyBorder="1" applyAlignment="1">
      <alignment horizontal="center" vertical="center"/>
    </xf>
    <xf numFmtId="3" fontId="132" fillId="9" borderId="18" xfId="4" applyNumberFormat="1" applyFont="1" applyFill="1" applyBorder="1" applyAlignment="1">
      <alignment horizontal="center" vertical="center"/>
    </xf>
    <xf numFmtId="3" fontId="132" fillId="0" borderId="18" xfId="4" applyNumberFormat="1" applyFont="1" applyFill="1" applyBorder="1" applyAlignment="1">
      <alignment horizontal="center" vertical="center"/>
    </xf>
    <xf numFmtId="43" fontId="45" fillId="0" borderId="18" xfId="132" quotePrefix="1" applyFont="1" applyBorder="1" applyAlignment="1">
      <alignment horizontal="center" vertical="center" wrapText="1"/>
    </xf>
    <xf numFmtId="4" fontId="132" fillId="0" borderId="18" xfId="4" applyNumberFormat="1" applyFont="1" applyFill="1" applyBorder="1" applyAlignment="1">
      <alignment horizontal="center" vertical="center"/>
    </xf>
    <xf numFmtId="184" fontId="63" fillId="0" borderId="0" xfId="1" applyNumberFormat="1" applyFont="1"/>
    <xf numFmtId="4" fontId="132" fillId="7" borderId="18" xfId="4" quotePrefix="1" applyNumberFormat="1" applyFont="1" applyFill="1" applyBorder="1" applyAlignment="1">
      <alignment horizontal="center" vertical="center"/>
    </xf>
    <xf numFmtId="0" fontId="63" fillId="0" borderId="0" xfId="2" applyFont="1" applyFill="1"/>
    <xf numFmtId="0" fontId="0" fillId="0" borderId="0" xfId="0" applyAlignment="1">
      <alignment horizontal="left" vertical="top" wrapText="1"/>
    </xf>
    <xf numFmtId="0" fontId="135" fillId="0" borderId="0" xfId="0" applyFont="1" applyAlignment="1">
      <alignment horizontal="center" vertical="center"/>
    </xf>
    <xf numFmtId="0" fontId="136" fillId="0" borderId="0" xfId="0" applyFont="1" applyAlignment="1">
      <alignment horizontal="center" vertical="center"/>
    </xf>
    <xf numFmtId="0" fontId="108" fillId="0" borderId="0" xfId="0" applyFont="1" applyAlignment="1">
      <alignment horizontal="center" vertical="center"/>
    </xf>
    <xf numFmtId="0" fontId="63" fillId="0" borderId="0" xfId="133" applyFont="1" applyAlignment="1">
      <alignment horizontal="left" vertical="top" wrapText="1"/>
    </xf>
    <xf numFmtId="0" fontId="87" fillId="0" borderId="0" xfId="133" applyFont="1" applyAlignment="1">
      <alignment horizontal="left" vertical="center" wrapText="1"/>
    </xf>
    <xf numFmtId="0" fontId="87" fillId="0" borderId="16" xfId="133" applyFont="1" applyBorder="1" applyAlignment="1">
      <alignment horizontal="left" vertical="center" wrapText="1"/>
    </xf>
    <xf numFmtId="0" fontId="65" fillId="0" borderId="18" xfId="133" applyFont="1" applyBorder="1" applyAlignment="1">
      <alignment horizontal="center" vertical="top" wrapText="1"/>
    </xf>
    <xf numFmtId="0" fontId="65" fillId="0" borderId="19" xfId="133" applyFont="1" applyBorder="1" applyAlignment="1">
      <alignment horizontal="center" vertical="top" wrapText="1"/>
    </xf>
    <xf numFmtId="0" fontId="181" fillId="0" borderId="12" xfId="134" applyFont="1" applyBorder="1" applyAlignment="1">
      <alignment horizontal="justify" vertical="justify" wrapText="1"/>
    </xf>
    <xf numFmtId="0" fontId="181" fillId="0" borderId="13" xfId="134" applyFont="1" applyBorder="1" applyAlignment="1">
      <alignment horizontal="justify" vertical="justify" wrapText="1"/>
    </xf>
    <xf numFmtId="0" fontId="181" fillId="0" borderId="14" xfId="134" applyFont="1" applyBorder="1" applyAlignment="1">
      <alignment horizontal="justify" vertical="justify" wrapText="1"/>
    </xf>
    <xf numFmtId="0" fontId="181" fillId="0" borderId="15" xfId="134" applyFont="1" applyBorder="1" applyAlignment="1">
      <alignment horizontal="justify" vertical="justify" wrapText="1"/>
    </xf>
    <xf numFmtId="0" fontId="181" fillId="0" borderId="0" xfId="134" applyFont="1" applyAlignment="1">
      <alignment horizontal="justify" vertical="justify" wrapText="1"/>
    </xf>
    <xf numFmtId="0" fontId="181" fillId="0" borderId="16" xfId="134" applyFont="1" applyBorder="1" applyAlignment="1">
      <alignment horizontal="justify" vertical="justify" wrapText="1"/>
    </xf>
    <xf numFmtId="0" fontId="132" fillId="0" borderId="17" xfId="134" applyFont="1" applyBorder="1" applyAlignment="1">
      <alignment horizontal="left" vertical="center" wrapText="1"/>
    </xf>
    <xf numFmtId="0" fontId="180" fillId="0" borderId="18" xfId="134" applyFont="1" applyBorder="1" applyAlignment="1">
      <alignment horizontal="left" vertical="center" wrapText="1"/>
    </xf>
    <xf numFmtId="0" fontId="180" fillId="0" borderId="19" xfId="134" applyFont="1" applyBorder="1" applyAlignment="1">
      <alignment horizontal="left" vertical="center" wrapText="1"/>
    </xf>
    <xf numFmtId="0" fontId="180" fillId="0" borderId="21" xfId="134" applyFont="1" applyBorder="1" applyAlignment="1">
      <alignment horizontal="center" vertical="center" wrapText="1"/>
    </xf>
    <xf numFmtId="0" fontId="180" fillId="0" borderId="37" xfId="134" applyFont="1" applyBorder="1" applyAlignment="1">
      <alignment horizontal="center" vertical="center" wrapText="1"/>
    </xf>
    <xf numFmtId="0" fontId="180" fillId="0" borderId="22" xfId="134" applyFont="1" applyBorder="1" applyAlignment="1">
      <alignment horizontal="center" vertical="center" wrapText="1"/>
    </xf>
    <xf numFmtId="0" fontId="180" fillId="0" borderId="40" xfId="134" applyFont="1" applyBorder="1" applyAlignment="1">
      <alignment horizontal="center" vertical="center" wrapText="1"/>
    </xf>
    <xf numFmtId="0" fontId="25" fillId="0" borderId="78" xfId="127" applyFont="1" applyBorder="1" applyAlignment="1">
      <alignment horizontal="left" vertical="center" wrapText="1"/>
    </xf>
    <xf numFmtId="0" fontId="25" fillId="0" borderId="31" xfId="127" applyFont="1" applyBorder="1" applyAlignment="1">
      <alignment horizontal="left" vertical="center" wrapText="1"/>
    </xf>
    <xf numFmtId="0" fontId="25" fillId="0" borderId="23" xfId="127" applyFont="1" applyBorder="1" applyAlignment="1">
      <alignment horizontal="left" vertical="center" wrapText="1"/>
    </xf>
    <xf numFmtId="0" fontId="25" fillId="0" borderId="24" xfId="127" applyFont="1" applyBorder="1" applyAlignment="1">
      <alignment horizontal="left" vertical="center" wrapText="1"/>
    </xf>
    <xf numFmtId="0" fontId="25" fillId="0" borderId="25" xfId="127" applyFont="1" applyBorder="1" applyAlignment="1">
      <alignment horizontal="left" vertical="center" wrapText="1"/>
    </xf>
    <xf numFmtId="0" fontId="80" fillId="0" borderId="15" xfId="127" applyFont="1" applyBorder="1" applyAlignment="1">
      <alignment horizontal="center" vertical="center" wrapText="1"/>
    </xf>
    <xf numFmtId="0" fontId="80" fillId="0" borderId="0" xfId="127" applyFont="1" applyAlignment="1">
      <alignment horizontal="center" vertical="center" wrapText="1"/>
    </xf>
    <xf numFmtId="0" fontId="80" fillId="0" borderId="16" xfId="127" applyFont="1" applyBorder="1" applyAlignment="1">
      <alignment horizontal="center" vertical="center" wrapText="1"/>
    </xf>
    <xf numFmtId="0" fontId="59" fillId="0" borderId="0" xfId="0" applyFont="1" applyAlignment="1">
      <alignment horizontal="center" vertical="center"/>
    </xf>
    <xf numFmtId="0" fontId="74" fillId="0" borderId="15" xfId="0" applyFont="1" applyBorder="1" applyAlignment="1">
      <alignment horizontal="left" vertical="center" wrapText="1"/>
    </xf>
    <xf numFmtId="0" fontId="74" fillId="0" borderId="0" xfId="0" applyFont="1" applyAlignment="1">
      <alignment horizontal="left" vertical="center" wrapText="1"/>
    </xf>
    <xf numFmtId="0" fontId="74" fillId="0" borderId="16" xfId="0" applyFont="1" applyBorder="1" applyAlignment="1">
      <alignment horizontal="left" vertical="center" wrapText="1"/>
    </xf>
    <xf numFmtId="0" fontId="86" fillId="0" borderId="15" xfId="0" applyFont="1" applyBorder="1" applyAlignment="1">
      <alignment horizontal="center" vertical="center"/>
    </xf>
    <xf numFmtId="0" fontId="86" fillId="0" borderId="0" xfId="0" applyFont="1" applyAlignment="1">
      <alignment horizontal="center" vertical="center"/>
    </xf>
    <xf numFmtId="0" fontId="86" fillId="0" borderId="16" xfId="0" applyFont="1" applyBorder="1" applyAlignment="1">
      <alignment horizontal="center" vertical="center"/>
    </xf>
    <xf numFmtId="0" fontId="104" fillId="0" borderId="15" xfId="0" applyFont="1" applyBorder="1" applyAlignment="1">
      <alignment horizontal="left" vertical="center" wrapText="1"/>
    </xf>
    <xf numFmtId="0" fontId="104" fillId="0" borderId="0" xfId="0" applyFont="1" applyAlignment="1">
      <alignment horizontal="left" vertical="center" wrapText="1"/>
    </xf>
    <xf numFmtId="0" fontId="104" fillId="0" borderId="16" xfId="0" applyFont="1" applyBorder="1" applyAlignment="1">
      <alignment horizontal="left" vertical="center" wrapText="1"/>
    </xf>
    <xf numFmtId="0" fontId="166" fillId="0" borderId="15" xfId="121" applyFont="1" applyBorder="1" applyAlignment="1">
      <alignment vertical="center" wrapText="1"/>
    </xf>
    <xf numFmtId="0" fontId="166" fillId="0" borderId="0" xfId="121" applyFont="1" applyAlignment="1">
      <alignment vertical="center" wrapText="1"/>
    </xf>
    <xf numFmtId="0" fontId="166" fillId="0" borderId="16" xfId="121" applyFont="1" applyBorder="1" applyAlignment="1">
      <alignment vertical="center" wrapText="1"/>
    </xf>
    <xf numFmtId="0" fontId="113" fillId="0" borderId="15" xfId="121" applyFont="1" applyBorder="1" applyAlignment="1">
      <alignment horizontal="center" vertical="center" wrapText="1"/>
    </xf>
    <xf numFmtId="0" fontId="113" fillId="0" borderId="0" xfId="121" applyFont="1" applyAlignment="1">
      <alignment horizontal="center" vertical="center" wrapText="1"/>
    </xf>
    <xf numFmtId="0" fontId="113" fillId="0" borderId="16" xfId="121" applyFont="1" applyBorder="1" applyAlignment="1">
      <alignment horizontal="center" vertical="center" wrapText="1"/>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94" fillId="0" borderId="15" xfId="121" applyFont="1" applyBorder="1" applyAlignment="1">
      <alignment horizontal="center" vertical="center" wrapText="1"/>
    </xf>
    <xf numFmtId="0" fontId="94" fillId="0" borderId="0" xfId="121" applyFont="1" applyAlignment="1">
      <alignment horizontal="center" vertical="center" wrapText="1"/>
    </xf>
    <xf numFmtId="0" fontId="94" fillId="0" borderId="16" xfId="121" applyFont="1" applyBorder="1" applyAlignment="1">
      <alignment horizontal="center" vertical="center" wrapText="1"/>
    </xf>
    <xf numFmtId="0" fontId="166" fillId="0" borderId="15" xfId="121" applyFont="1" applyBorder="1" applyAlignment="1">
      <alignment horizontal="left" vertical="center" wrapText="1"/>
    </xf>
    <xf numFmtId="0" fontId="166" fillId="0" borderId="0" xfId="121" applyFont="1" applyAlignment="1">
      <alignment horizontal="left" vertical="center" wrapText="1"/>
    </xf>
    <xf numFmtId="0" fontId="166" fillId="0" borderId="16" xfId="121" applyFont="1" applyBorder="1" applyAlignment="1">
      <alignment horizontal="left" vertical="center" wrapText="1"/>
    </xf>
    <xf numFmtId="0" fontId="92" fillId="0" borderId="18" xfId="121" applyFont="1" applyBorder="1" applyAlignment="1">
      <alignment horizontal="center" vertical="center" wrapText="1"/>
    </xf>
    <xf numFmtId="0" fontId="92" fillId="0" borderId="19" xfId="121" applyFont="1" applyBorder="1" applyAlignment="1">
      <alignment horizontal="center" vertical="center" wrapText="1"/>
    </xf>
    <xf numFmtId="0" fontId="91" fillId="0" borderId="18" xfId="121" applyFont="1" applyBorder="1" applyAlignment="1">
      <alignment horizontal="center" vertical="center" wrapText="1"/>
    </xf>
    <xf numFmtId="0" fontId="91" fillId="0" borderId="19" xfId="121" applyFont="1" applyBorder="1" applyAlignment="1">
      <alignment horizontal="center" vertical="center" wrapText="1"/>
    </xf>
    <xf numFmtId="0" fontId="94" fillId="0" borderId="18" xfId="121" applyFont="1" applyBorder="1" applyAlignment="1">
      <alignment vertical="center" wrapText="1"/>
    </xf>
    <xf numFmtId="0" fontId="94" fillId="0" borderId="19" xfId="121" applyFont="1" applyBorder="1" applyAlignment="1">
      <alignment vertical="center" wrapText="1"/>
    </xf>
    <xf numFmtId="0" fontId="92" fillId="0" borderId="18" xfId="121" applyFont="1" applyBorder="1" applyAlignment="1">
      <alignment vertical="center" wrapText="1"/>
    </xf>
    <xf numFmtId="0" fontId="92" fillId="0" borderId="19" xfId="121" applyFont="1" applyBorder="1" applyAlignment="1">
      <alignment vertical="center" wrapText="1"/>
    </xf>
    <xf numFmtId="0" fontId="91" fillId="0" borderId="17" xfId="121" applyFont="1" applyBorder="1" applyAlignment="1">
      <alignment vertical="center" wrapText="1"/>
    </xf>
    <xf numFmtId="0" fontId="94" fillId="0" borderId="18" xfId="121" applyFont="1" applyBorder="1" applyAlignment="1">
      <alignment horizontal="center" vertical="center" wrapText="1"/>
    </xf>
    <xf numFmtId="0" fontId="90" fillId="0" borderId="48" xfId="121" applyFont="1" applyBorder="1" applyAlignment="1">
      <alignment horizontal="center" vertical="center" wrapText="1"/>
    </xf>
    <xf numFmtId="0" fontId="90" fillId="0" borderId="47" xfId="121" applyFont="1" applyBorder="1" applyAlignment="1">
      <alignment horizontal="center" vertical="center" wrapText="1"/>
    </xf>
    <xf numFmtId="0" fontId="90" fillId="0" borderId="49" xfId="121" applyFont="1" applyBorder="1" applyAlignment="1">
      <alignment horizontal="center" vertical="center" wrapText="1"/>
    </xf>
    <xf numFmtId="0" fontId="86" fillId="0" borderId="15" xfId="0" applyFont="1" applyBorder="1" applyAlignment="1">
      <alignment horizontal="center" vertical="top" wrapText="1"/>
    </xf>
    <xf numFmtId="0" fontId="86" fillId="0" borderId="0" xfId="0" applyFont="1" applyAlignment="1">
      <alignment horizontal="center" vertical="top" wrapText="1"/>
    </xf>
    <xf numFmtId="0" fontId="86" fillId="0" borderId="16" xfId="0" applyFont="1" applyBorder="1" applyAlignment="1">
      <alignment horizontal="center" vertical="top" wrapText="1"/>
    </xf>
    <xf numFmtId="0" fontId="36" fillId="0" borderId="0" xfId="0" applyFont="1" applyAlignment="1">
      <alignment horizontal="center" vertical="top"/>
    </xf>
    <xf numFmtId="0" fontId="70" fillId="0" borderId="17" xfId="0" applyFont="1" applyBorder="1" applyAlignment="1">
      <alignment horizontal="center" vertical="center" wrapText="1"/>
    </xf>
    <xf numFmtId="0" fontId="70" fillId="0" borderId="30" xfId="0" applyFont="1" applyBorder="1" applyAlignment="1">
      <alignment horizontal="center" vertical="center" wrapText="1"/>
    </xf>
    <xf numFmtId="0" fontId="37" fillId="0" borderId="30" xfId="0" applyFont="1" applyBorder="1" applyAlignment="1">
      <alignment horizontal="center" vertical="center" wrapText="1"/>
    </xf>
    <xf numFmtId="0" fontId="37" fillId="0" borderId="38" xfId="0" applyFont="1" applyBorder="1" applyAlignment="1">
      <alignment horizontal="center" vertical="center" wrapText="1"/>
    </xf>
    <xf numFmtId="0" fontId="37" fillId="0" borderId="39" xfId="0" applyFont="1" applyBorder="1" applyAlignment="1">
      <alignment horizontal="center" vertical="center" wrapText="1"/>
    </xf>
    <xf numFmtId="0" fontId="119" fillId="0" borderId="38" xfId="0" applyFont="1" applyBorder="1" applyAlignment="1">
      <alignment horizontal="center" vertical="center" wrapText="1"/>
    </xf>
    <xf numFmtId="0" fontId="119" fillId="0" borderId="39" xfId="0" applyFont="1" applyBorder="1" applyAlignment="1">
      <alignment horizontal="center" vertical="center" wrapText="1"/>
    </xf>
    <xf numFmtId="0" fontId="85" fillId="0" borderId="15" xfId="0" applyFont="1" applyBorder="1" applyAlignment="1">
      <alignment horizontal="left" vertical="top" wrapText="1"/>
    </xf>
    <xf numFmtId="0" fontId="85" fillId="0" borderId="0" xfId="0" applyFont="1" applyAlignment="1">
      <alignment horizontal="left" vertical="top" wrapText="1"/>
    </xf>
    <xf numFmtId="0" fontId="138" fillId="0" borderId="15" xfId="0" applyFont="1" applyBorder="1" applyAlignment="1">
      <alignment horizontal="center" wrapText="1"/>
    </xf>
    <xf numFmtId="0" fontId="0" fillId="0" borderId="16" xfId="0" applyBorder="1" applyAlignment="1">
      <alignment horizontal="left" vertical="top"/>
    </xf>
    <xf numFmtId="14" fontId="131" fillId="0" borderId="18" xfId="0" applyNumberFormat="1" applyFont="1" applyBorder="1" applyAlignment="1">
      <alignment horizontal="center" vertical="center"/>
    </xf>
    <xf numFmtId="0" fontId="131" fillId="0" borderId="19" xfId="0" applyFont="1" applyBorder="1" applyAlignment="1">
      <alignment horizontal="center" vertical="center"/>
    </xf>
    <xf numFmtId="0" fontId="131" fillId="0" borderId="30" xfId="0" applyFont="1" applyBorder="1" applyAlignment="1">
      <alignment horizontal="center" vertical="center" wrapText="1"/>
    </xf>
    <xf numFmtId="0" fontId="131" fillId="0" borderId="39" xfId="0" applyFont="1" applyBorder="1" applyAlignment="1">
      <alignment horizontal="center" vertical="center" wrapText="1"/>
    </xf>
    <xf numFmtId="0" fontId="104" fillId="0" borderId="15" xfId="0" applyFont="1" applyBorder="1" applyAlignment="1">
      <alignment horizontal="center" vertical="center"/>
    </xf>
    <xf numFmtId="0" fontId="104" fillId="0" borderId="0" xfId="0" applyFont="1" applyAlignment="1">
      <alignment horizontal="center" vertical="center"/>
    </xf>
    <xf numFmtId="0" fontId="104" fillId="0" borderId="16" xfId="0" applyFont="1" applyBorder="1" applyAlignment="1">
      <alignment horizontal="center" vertical="center"/>
    </xf>
    <xf numFmtId="0" fontId="131" fillId="0" borderId="18" xfId="0" applyFont="1" applyBorder="1" applyAlignment="1">
      <alignment horizontal="center" vertical="center"/>
    </xf>
    <xf numFmtId="3" fontId="131" fillId="0" borderId="18" xfId="0" applyNumberFormat="1" applyFont="1" applyBorder="1" applyAlignment="1">
      <alignment horizontal="center" vertical="center"/>
    </xf>
    <xf numFmtId="3" fontId="131" fillId="0" borderId="19" xfId="0" applyNumberFormat="1" applyFont="1" applyBorder="1" applyAlignment="1">
      <alignment horizontal="center" vertical="center"/>
    </xf>
    <xf numFmtId="0" fontId="131" fillId="0" borderId="30" xfId="0" applyFont="1" applyBorder="1" applyAlignment="1">
      <alignment horizontal="center" vertical="center"/>
    </xf>
    <xf numFmtId="0" fontId="131" fillId="0" borderId="39" xfId="0" applyFont="1" applyBorder="1" applyAlignment="1">
      <alignment horizontal="center" vertical="center"/>
    </xf>
    <xf numFmtId="0" fontId="104" fillId="0" borderId="20" xfId="0" applyFont="1" applyBorder="1" applyAlignment="1">
      <alignment horizontal="left" vertical="center" wrapText="1"/>
    </xf>
    <xf numFmtId="0" fontId="104" fillId="0" borderId="36" xfId="0" applyFont="1" applyBorder="1" applyAlignment="1">
      <alignment horizontal="left" vertical="center" wrapText="1"/>
    </xf>
    <xf numFmtId="0" fontId="91" fillId="0" borderId="18" xfId="121" applyFont="1" applyBorder="1" applyAlignment="1">
      <alignment horizontal="left" vertical="center"/>
    </xf>
    <xf numFmtId="0" fontId="91" fillId="0" borderId="19" xfId="121" applyFont="1" applyBorder="1" applyAlignment="1">
      <alignment horizontal="left" vertical="center"/>
    </xf>
    <xf numFmtId="0" fontId="90" fillId="0" borderId="18" xfId="121" applyFont="1" applyBorder="1" applyAlignment="1">
      <alignment horizontal="left" vertical="center"/>
    </xf>
    <xf numFmtId="0" fontId="90" fillId="0" borderId="19" xfId="121" applyFont="1" applyBorder="1" applyAlignment="1">
      <alignment horizontal="left" vertical="center"/>
    </xf>
    <xf numFmtId="0" fontId="102" fillId="0" borderId="0" xfId="121" applyFont="1" applyAlignment="1">
      <alignment vertical="center" wrapText="1"/>
    </xf>
    <xf numFmtId="0" fontId="100" fillId="0" borderId="15" xfId="121" applyFont="1" applyBorder="1" applyAlignment="1">
      <alignment horizontal="center" vertical="center" wrapText="1"/>
    </xf>
    <xf numFmtId="0" fontId="100" fillId="0" borderId="0" xfId="121" applyFont="1" applyAlignment="1">
      <alignment horizontal="center" vertical="center" wrapText="1"/>
    </xf>
    <xf numFmtId="0" fontId="100" fillId="0" borderId="16" xfId="121" applyFont="1" applyBorder="1" applyAlignment="1">
      <alignment horizontal="center" vertical="center" wrapText="1"/>
    </xf>
    <xf numFmtId="0" fontId="112" fillId="0" borderId="15" xfId="121" applyFont="1" applyBorder="1" applyAlignment="1">
      <alignment horizontal="left" vertical="center" wrapText="1"/>
    </xf>
    <xf numFmtId="0" fontId="112" fillId="0" borderId="0" xfId="121" applyFont="1" applyAlignment="1">
      <alignment horizontal="left" vertical="center" wrapText="1"/>
    </xf>
    <xf numFmtId="0" fontId="98" fillId="0" borderId="0" xfId="121" applyFont="1" applyAlignment="1">
      <alignment horizontal="left" vertical="center" wrapText="1"/>
    </xf>
    <xf numFmtId="0" fontId="91" fillId="0" borderId="17" xfId="121" applyFont="1" applyBorder="1" applyAlignment="1">
      <alignment horizontal="center" vertical="center" wrapText="1"/>
    </xf>
    <xf numFmtId="0" fontId="11" fillId="0" borderId="18" xfId="121" applyFont="1" applyBorder="1" applyAlignment="1">
      <alignment horizontal="center" vertical="center" wrapText="1"/>
    </xf>
    <xf numFmtId="0" fontId="91" fillId="0" borderId="0" xfId="121" applyFont="1" applyAlignment="1">
      <alignment horizontal="center" vertical="center" wrapText="1"/>
    </xf>
    <xf numFmtId="0" fontId="101" fillId="0" borderId="0" xfId="121" applyFont="1" applyAlignment="1">
      <alignment horizontal="center" vertical="center" wrapText="1"/>
    </xf>
    <xf numFmtId="0" fontId="98" fillId="0" borderId="15" xfId="121" applyFont="1" applyBorder="1" applyAlignment="1">
      <alignment vertical="center" wrapText="1"/>
    </xf>
    <xf numFmtId="0" fontId="98" fillId="0" borderId="0" xfId="121" applyFont="1" applyAlignment="1">
      <alignment vertical="center" wrapText="1"/>
    </xf>
    <xf numFmtId="0" fontId="102" fillId="0" borderId="0" xfId="121" applyFont="1" applyAlignment="1">
      <alignment horizontal="left" vertical="center" wrapText="1"/>
    </xf>
    <xf numFmtId="0" fontId="91" fillId="0" borderId="27" xfId="121" applyFont="1" applyBorder="1" applyAlignment="1">
      <alignment horizontal="center" vertical="center" wrapText="1"/>
    </xf>
    <xf numFmtId="0" fontId="91" fillId="0" borderId="21" xfId="121" applyFont="1" applyBorder="1" applyAlignment="1">
      <alignment horizontal="center" vertical="center" wrapText="1"/>
    </xf>
    <xf numFmtId="0" fontId="91" fillId="0" borderId="37" xfId="121" applyFont="1" applyBorder="1" applyAlignment="1">
      <alignment horizontal="center" vertical="center" wrapText="1"/>
    </xf>
    <xf numFmtId="0" fontId="91" fillId="0" borderId="50" xfId="121" applyFont="1" applyBorder="1" applyAlignment="1">
      <alignment horizontal="center" vertical="center" wrapText="1"/>
    </xf>
    <xf numFmtId="0" fontId="91" fillId="0" borderId="52" xfId="121" applyFont="1" applyBorder="1" applyAlignment="1">
      <alignment horizontal="center" vertical="center" wrapText="1"/>
    </xf>
    <xf numFmtId="0" fontId="91" fillId="0" borderId="61" xfId="121" applyFont="1" applyBorder="1" applyAlignment="1">
      <alignment horizontal="center" vertical="center" wrapText="1"/>
    </xf>
    <xf numFmtId="0" fontId="91" fillId="0" borderId="62" xfId="121" applyFont="1" applyBorder="1" applyAlignment="1">
      <alignment horizontal="center" vertical="center" wrapText="1"/>
    </xf>
    <xf numFmtId="0" fontId="11" fillId="0" borderId="21" xfId="121" applyFont="1" applyBorder="1" applyAlignment="1">
      <alignment horizontal="center" vertical="center" wrapText="1"/>
    </xf>
    <xf numFmtId="0" fontId="11" fillId="0" borderId="37" xfId="121" applyFont="1" applyBorder="1" applyAlignment="1">
      <alignment horizontal="center" vertical="center" wrapText="1"/>
    </xf>
    <xf numFmtId="0" fontId="11" fillId="0" borderId="22" xfId="121" applyFont="1" applyBorder="1" applyAlignment="1">
      <alignment horizontal="center" vertical="center" wrapText="1"/>
    </xf>
    <xf numFmtId="0" fontId="11" fillId="0" borderId="40" xfId="121" applyFont="1" applyBorder="1" applyAlignment="1">
      <alignment horizontal="center" vertical="center" wrapText="1"/>
    </xf>
    <xf numFmtId="0" fontId="108" fillId="0" borderId="15" xfId="0" applyFont="1" applyBorder="1" applyAlignment="1">
      <alignment horizontal="center" vertical="top"/>
    </xf>
    <xf numFmtId="0" fontId="108" fillId="0" borderId="0" xfId="0" applyFont="1" applyAlignment="1">
      <alignment horizontal="center" vertical="top"/>
    </xf>
    <xf numFmtId="0" fontId="108" fillId="0" borderId="16" xfId="0" applyFont="1" applyBorder="1" applyAlignment="1">
      <alignment horizontal="center" vertical="top"/>
    </xf>
    <xf numFmtId="0" fontId="103" fillId="0" borderId="30" xfId="0" applyFont="1" applyBorder="1" applyAlignment="1">
      <alignment horizontal="center" vertical="top"/>
    </xf>
    <xf numFmtId="0" fontId="103" fillId="0" borderId="31" xfId="0" applyFont="1" applyBorder="1" applyAlignment="1">
      <alignment horizontal="center" vertical="top"/>
    </xf>
    <xf numFmtId="3" fontId="104" fillId="0" borderId="18" xfId="0" applyNumberFormat="1" applyFont="1" applyBorder="1" applyAlignment="1">
      <alignment horizontal="center" vertical="center"/>
    </xf>
    <xf numFmtId="0" fontId="103" fillId="0" borderId="18" xfId="0" applyFont="1" applyBorder="1" applyAlignment="1">
      <alignment horizontal="center" vertical="top"/>
    </xf>
    <xf numFmtId="0" fontId="103" fillId="0" borderId="19" xfId="0" applyFont="1" applyBorder="1" applyAlignment="1">
      <alignment horizontal="center" vertical="top"/>
    </xf>
    <xf numFmtId="0" fontId="131" fillId="0" borderId="22" xfId="0" applyFont="1" applyBorder="1" applyAlignment="1">
      <alignment horizontal="center" vertical="center"/>
    </xf>
    <xf numFmtId="0" fontId="131" fillId="0" borderId="74" xfId="0" applyFont="1" applyBorder="1" applyAlignment="1">
      <alignment horizontal="center" vertical="center"/>
    </xf>
    <xf numFmtId="0" fontId="131" fillId="0" borderId="40" xfId="0" applyFont="1" applyBorder="1" applyAlignment="1">
      <alignment horizontal="center" vertical="center"/>
    </xf>
    <xf numFmtId="3" fontId="104" fillId="0" borderId="30" xfId="0" applyNumberFormat="1" applyFont="1" applyBorder="1" applyAlignment="1">
      <alignment horizontal="center" vertical="top"/>
    </xf>
    <xf numFmtId="0" fontId="104" fillId="0" borderId="31" xfId="0" applyFont="1" applyBorder="1" applyAlignment="1">
      <alignment horizontal="center" vertical="top"/>
    </xf>
    <xf numFmtId="4" fontId="104" fillId="0" borderId="30" xfId="0" applyNumberFormat="1" applyFont="1" applyBorder="1" applyAlignment="1">
      <alignment horizontal="center" vertical="top"/>
    </xf>
    <xf numFmtId="0" fontId="104" fillId="0" borderId="39" xfId="0" applyFont="1" applyBorder="1" applyAlignment="1">
      <alignment horizontal="center" vertical="top"/>
    </xf>
    <xf numFmtId="0" fontId="104" fillId="0" borderId="30" xfId="0" applyFont="1" applyBorder="1" applyAlignment="1">
      <alignment horizontal="center" vertical="top"/>
    </xf>
    <xf numFmtId="0" fontId="131" fillId="0" borderId="31" xfId="0" applyFont="1" applyBorder="1" applyAlignment="1">
      <alignment horizontal="center" vertical="center"/>
    </xf>
    <xf numFmtId="3" fontId="131" fillId="0" borderId="30" xfId="0" applyNumberFormat="1" applyFont="1" applyBorder="1" applyAlignment="1">
      <alignment horizontal="center" vertical="top"/>
    </xf>
    <xf numFmtId="3" fontId="131" fillId="0" borderId="31" xfId="0" applyNumberFormat="1" applyFont="1" applyBorder="1" applyAlignment="1">
      <alignment horizontal="center" vertical="top"/>
    </xf>
    <xf numFmtId="0" fontId="131" fillId="0" borderId="30" xfId="0" applyFont="1" applyBorder="1" applyAlignment="1">
      <alignment horizontal="center" vertical="top"/>
    </xf>
    <xf numFmtId="0" fontId="131" fillId="0" borderId="31" xfId="0" applyFont="1" applyBorder="1" applyAlignment="1">
      <alignment horizontal="center" vertical="top"/>
    </xf>
    <xf numFmtId="3" fontId="104" fillId="0" borderId="18" xfId="0" applyNumberFormat="1" applyFont="1" applyBorder="1" applyAlignment="1">
      <alignment horizontal="center" vertical="top"/>
    </xf>
    <xf numFmtId="0" fontId="104" fillId="0" borderId="18" xfId="0" applyFont="1" applyBorder="1" applyAlignment="1">
      <alignment horizontal="center" vertical="top"/>
    </xf>
    <xf numFmtId="0" fontId="131" fillId="0" borderId="39" xfId="0" applyFont="1" applyBorder="1" applyAlignment="1">
      <alignment horizontal="center" vertical="top"/>
    </xf>
    <xf numFmtId="0" fontId="85" fillId="0" borderId="16" xfId="0" applyFont="1" applyBorder="1" applyAlignment="1">
      <alignment horizontal="left" vertical="top" wrapText="1"/>
    </xf>
    <xf numFmtId="0" fontId="36" fillId="0" borderId="0" xfId="0" applyFont="1" applyAlignment="1">
      <alignment horizontal="center" vertical="top" wrapText="1"/>
    </xf>
    <xf numFmtId="0" fontId="103" fillId="0" borderId="15" xfId="0" applyFont="1" applyBorder="1" applyAlignment="1">
      <alignment horizontal="center" vertical="top"/>
    </xf>
    <xf numFmtId="0" fontId="103" fillId="0" borderId="0" xfId="0" applyFont="1" applyAlignment="1">
      <alignment horizontal="center" vertical="top"/>
    </xf>
    <xf numFmtId="0" fontId="103" fillId="0" borderId="16" xfId="0" applyFont="1" applyBorder="1" applyAlignment="1">
      <alignment horizontal="center" vertical="top"/>
    </xf>
    <xf numFmtId="0" fontId="85" fillId="0" borderId="15" xfId="0" applyFont="1" applyBorder="1" applyAlignment="1">
      <alignment horizontal="left" vertical="top"/>
    </xf>
    <xf numFmtId="0" fontId="85" fillId="0" borderId="0" xfId="0" applyFont="1" applyAlignment="1">
      <alignment horizontal="left" vertical="top"/>
    </xf>
    <xf numFmtId="0" fontId="85" fillId="0" borderId="16" xfId="0" applyFont="1" applyBorder="1" applyAlignment="1">
      <alignment horizontal="left" vertical="top"/>
    </xf>
    <xf numFmtId="0" fontId="85" fillId="0" borderId="15" xfId="0" applyFont="1" applyBorder="1" applyAlignment="1">
      <alignment horizontal="center" vertical="top" wrapText="1"/>
    </xf>
    <xf numFmtId="0" fontId="85" fillId="0" borderId="0" xfId="0" applyFont="1" applyAlignment="1">
      <alignment horizontal="center" vertical="top" wrapText="1"/>
    </xf>
    <xf numFmtId="0" fontId="85" fillId="0" borderId="16" xfId="0" applyFont="1" applyBorder="1" applyAlignment="1">
      <alignment horizontal="center" vertical="top" wrapText="1"/>
    </xf>
    <xf numFmtId="0" fontId="0" fillId="0" borderId="59" xfId="0" applyBorder="1" applyAlignment="1">
      <alignment horizontal="left" vertical="top" wrapText="1"/>
    </xf>
    <xf numFmtId="0" fontId="0" fillId="0" borderId="6" xfId="0" applyBorder="1" applyAlignment="1">
      <alignment horizontal="left" vertical="top" wrapText="1"/>
    </xf>
    <xf numFmtId="0" fontId="0" fillId="0" borderId="60" xfId="0" applyBorder="1" applyAlignment="1">
      <alignment horizontal="left" vertical="top" wrapText="1"/>
    </xf>
    <xf numFmtId="0" fontId="98" fillId="0" borderId="53" xfId="121" applyFont="1" applyBorder="1" applyAlignment="1">
      <alignment vertical="center" wrapText="1"/>
    </xf>
    <xf numFmtId="0" fontId="100" fillId="0" borderId="53" xfId="121" applyFont="1" applyBorder="1" applyAlignment="1">
      <alignment horizontal="center" vertical="center" wrapText="1"/>
    </xf>
    <xf numFmtId="0" fontId="100" fillId="0" borderId="54" xfId="121" applyFont="1" applyBorder="1" applyAlignment="1">
      <alignment horizontal="center" vertical="center" wrapText="1"/>
    </xf>
    <xf numFmtId="0" fontId="88" fillId="0" borderId="57" xfId="0" applyFont="1" applyBorder="1" applyAlignment="1">
      <alignment horizontal="left" wrapText="1"/>
    </xf>
    <xf numFmtId="0" fontId="88" fillId="0" borderId="3" xfId="0" applyFont="1" applyBorder="1" applyAlignment="1">
      <alignment horizontal="left" wrapText="1"/>
    </xf>
    <xf numFmtId="0" fontId="88" fillId="0" borderId="58" xfId="0" applyFont="1" applyBorder="1" applyAlignment="1">
      <alignment horizontal="left" wrapText="1"/>
    </xf>
    <xf numFmtId="0" fontId="132" fillId="0" borderId="47" xfId="125" applyFont="1" applyBorder="1" applyAlignment="1">
      <alignment horizontal="left"/>
    </xf>
    <xf numFmtId="0" fontId="126" fillId="0" borderId="15" xfId="125" applyFont="1" applyBorder="1" applyAlignment="1">
      <alignment horizontal="center"/>
    </xf>
    <xf numFmtId="0" fontId="126" fillId="0" borderId="0" xfId="125" applyFont="1" applyAlignment="1">
      <alignment horizontal="center"/>
    </xf>
    <xf numFmtId="0" fontId="126" fillId="0" borderId="16" xfId="125" applyFont="1" applyBorder="1" applyAlignment="1">
      <alignment horizontal="center"/>
    </xf>
    <xf numFmtId="0" fontId="21" fillId="0" borderId="2" xfId="0" applyFont="1" applyBorder="1" applyAlignment="1">
      <alignment horizontal="left" vertical="top" wrapText="1"/>
    </xf>
    <xf numFmtId="0" fontId="21" fillId="0" borderId="4" xfId="0" applyFont="1" applyBorder="1" applyAlignment="1">
      <alignment horizontal="left" vertical="top" wrapText="1"/>
    </xf>
    <xf numFmtId="0" fontId="29" fillId="0" borderId="5" xfId="0" applyFont="1" applyBorder="1" applyAlignment="1">
      <alignment horizontal="left" vertical="center" wrapText="1" indent="3"/>
    </xf>
    <xf numFmtId="0" fontId="29" fillId="0" borderId="6" xfId="0" applyFont="1" applyBorder="1" applyAlignment="1">
      <alignment horizontal="left" vertical="center" wrapText="1" indent="3"/>
    </xf>
    <xf numFmtId="0" fontId="29" fillId="0" borderId="8" xfId="0" applyFont="1" applyBorder="1" applyAlignment="1">
      <alignment horizontal="left" vertical="center" wrapText="1" indent="3"/>
    </xf>
    <xf numFmtId="0" fontId="0" fillId="0" borderId="2" xfId="0" applyBorder="1" applyAlignment="1">
      <alignment horizontal="left" wrapText="1"/>
    </xf>
    <xf numFmtId="0" fontId="0" fillId="0" borderId="4" xfId="0" applyBorder="1" applyAlignment="1">
      <alignment horizontal="left"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167" fontId="27" fillId="0" borderId="2" xfId="0" applyNumberFormat="1" applyFont="1" applyBorder="1" applyAlignment="1">
      <alignment horizontal="center" vertical="top" shrinkToFit="1"/>
    </xf>
    <xf numFmtId="167" fontId="27" fillId="0" borderId="4" xfId="0" applyNumberFormat="1" applyFont="1" applyBorder="1" applyAlignment="1">
      <alignment horizontal="center" vertical="top" shrinkToFi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21" fillId="0" borderId="7" xfId="0" applyFont="1" applyBorder="1" applyAlignment="1">
      <alignment horizontal="left" vertical="top" wrapText="1"/>
    </xf>
    <xf numFmtId="0" fontId="21" fillId="0" borderId="11" xfId="0" applyFont="1" applyBorder="1" applyAlignment="1">
      <alignment horizontal="left" vertical="top" wrapText="1"/>
    </xf>
    <xf numFmtId="0" fontId="21" fillId="0" borderId="5" xfId="0" applyFont="1" applyBorder="1" applyAlignment="1">
      <alignment horizontal="center" vertical="top" wrapText="1"/>
    </xf>
    <xf numFmtId="0" fontId="21" fillId="0" borderId="8" xfId="0" applyFont="1" applyBorder="1" applyAlignment="1">
      <alignment horizontal="center" vertical="top" wrapText="1"/>
    </xf>
    <xf numFmtId="0" fontId="21" fillId="0" borderId="9" xfId="0" applyFont="1" applyBorder="1" applyAlignment="1">
      <alignment horizontal="center" vertical="top" wrapText="1"/>
    </xf>
    <xf numFmtId="0" fontId="21" fillId="0" borderId="10" xfId="0" applyFont="1" applyBorder="1" applyAlignment="1">
      <alignment horizontal="center" vertical="top" wrapText="1"/>
    </xf>
    <xf numFmtId="0" fontId="21" fillId="0" borderId="2" xfId="0" applyFont="1" applyBorder="1" applyAlignment="1">
      <alignment horizontal="left" vertical="top" wrapText="1" indent="1"/>
    </xf>
    <xf numFmtId="0" fontId="21" fillId="0" borderId="4" xfId="0" applyFont="1" applyBorder="1" applyAlignment="1">
      <alignment horizontal="left" vertical="top" wrapText="1" indent="1"/>
    </xf>
    <xf numFmtId="0" fontId="0" fillId="0" borderId="7" xfId="0" applyBorder="1" applyAlignment="1">
      <alignment horizontal="center" vertical="top" wrapText="1"/>
    </xf>
    <xf numFmtId="0" fontId="0" fillId="0" borderId="11" xfId="0" applyBorder="1" applyAlignment="1">
      <alignment horizontal="center"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34" fillId="0" borderId="5" xfId="0" applyFont="1" applyBorder="1" applyAlignment="1">
      <alignment horizontal="left" vertical="center" wrapText="1" indent="3"/>
    </xf>
    <xf numFmtId="0" fontId="34" fillId="0" borderId="6" xfId="0" applyFont="1" applyBorder="1" applyAlignment="1">
      <alignment horizontal="left" vertical="center" wrapText="1" indent="3"/>
    </xf>
    <xf numFmtId="0" fontId="34" fillId="0" borderId="8" xfId="0" applyFont="1" applyBorder="1" applyAlignment="1">
      <alignment horizontal="left" vertical="center" wrapText="1" indent="3"/>
    </xf>
    <xf numFmtId="0" fontId="31" fillId="0" borderId="7" xfId="0" applyFont="1" applyBorder="1" applyAlignment="1">
      <alignment horizontal="left" vertical="top" wrapText="1"/>
    </xf>
    <xf numFmtId="0" fontId="31" fillId="0" borderId="11" xfId="0" applyFont="1" applyBorder="1" applyAlignment="1">
      <alignment horizontal="left" vertical="top" wrapText="1"/>
    </xf>
    <xf numFmtId="0" fontId="31" fillId="0" borderId="7" xfId="0" applyFont="1" applyBorder="1" applyAlignment="1">
      <alignment horizontal="center" vertical="top" wrapText="1"/>
    </xf>
    <xf numFmtId="0" fontId="31" fillId="0" borderId="11" xfId="0" applyFont="1" applyBorder="1" applyAlignment="1">
      <alignment horizontal="center" vertical="top" wrapText="1"/>
    </xf>
    <xf numFmtId="0" fontId="31" fillId="0" borderId="2" xfId="0" applyFont="1" applyBorder="1" applyAlignment="1">
      <alignment horizontal="left" vertical="top" wrapText="1" indent="1"/>
    </xf>
    <xf numFmtId="0" fontId="31" fillId="0" borderId="4" xfId="0" applyFont="1" applyBorder="1" applyAlignment="1">
      <alignment horizontal="left" vertical="top" wrapText="1" indent="1"/>
    </xf>
    <xf numFmtId="0" fontId="0" fillId="0" borderId="2" xfId="0" applyBorder="1" applyAlignment="1">
      <alignment horizontal="left" vertical="center" wrapText="1"/>
    </xf>
    <xf numFmtId="0" fontId="0" fillId="0" borderId="3" xfId="0" applyBorder="1" applyAlignment="1">
      <alignment horizontal="left" vertical="center" wrapText="1"/>
    </xf>
    <xf numFmtId="0" fontId="31" fillId="2" borderId="3" xfId="0" applyFont="1" applyFill="1" applyBorder="1" applyAlignment="1">
      <alignment horizontal="left" vertical="center" wrapText="1" indent="5"/>
    </xf>
    <xf numFmtId="0" fontId="31" fillId="2" borderId="4" xfId="0" applyFont="1" applyFill="1" applyBorder="1" applyAlignment="1">
      <alignment horizontal="left" vertical="center" wrapText="1" indent="5"/>
    </xf>
    <xf numFmtId="0" fontId="16" fillId="0" borderId="2"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0" fillId="0" borderId="3" xfId="0" applyBorder="1" applyAlignment="1">
      <alignment horizontal="left" wrapText="1"/>
    </xf>
    <xf numFmtId="0" fontId="0" fillId="0" borderId="4" xfId="0" applyBorder="1" applyAlignment="1">
      <alignment horizontal="left" vertical="center" wrapText="1"/>
    </xf>
    <xf numFmtId="0" fontId="15" fillId="0" borderId="2" xfId="0" applyFont="1" applyBorder="1" applyAlignment="1">
      <alignment horizontal="left" vertical="top" wrapText="1" indent="6"/>
    </xf>
    <xf numFmtId="0" fontId="15" fillId="0" borderId="3" xfId="0" applyFont="1" applyBorder="1" applyAlignment="1">
      <alignment horizontal="left" vertical="top" wrapText="1" indent="6"/>
    </xf>
    <xf numFmtId="0" fontId="15" fillId="0" borderId="4" xfId="0" applyFont="1" applyBorder="1" applyAlignment="1">
      <alignment horizontal="left" vertical="top" wrapText="1" indent="6"/>
    </xf>
    <xf numFmtId="0" fontId="15" fillId="0" borderId="2" xfId="0" applyFont="1" applyBorder="1" applyAlignment="1">
      <alignment horizontal="left" vertical="top" wrapText="1"/>
    </xf>
    <xf numFmtId="0" fontId="15" fillId="0" borderId="4" xfId="0" applyFont="1" applyBorder="1" applyAlignment="1">
      <alignment horizontal="left" vertical="top" wrapText="1"/>
    </xf>
    <xf numFmtId="1" fontId="17" fillId="0" borderId="2" xfId="0" applyNumberFormat="1" applyFont="1" applyBorder="1" applyAlignment="1">
      <alignment horizontal="center" vertical="top" shrinkToFit="1"/>
    </xf>
    <xf numFmtId="1" fontId="17" fillId="0" borderId="3" xfId="0" applyNumberFormat="1" applyFont="1" applyBorder="1" applyAlignment="1">
      <alignment horizontal="center" vertical="top" shrinkToFit="1"/>
    </xf>
    <xf numFmtId="1" fontId="17" fillId="0" borderId="4" xfId="0" applyNumberFormat="1" applyFont="1" applyBorder="1" applyAlignment="1">
      <alignment horizontal="center" vertical="top" shrinkToFit="1"/>
    </xf>
    <xf numFmtId="0" fontId="81" fillId="0" borderId="2" xfId="0" applyFont="1" applyBorder="1" applyAlignment="1">
      <alignment horizontal="center" wrapText="1"/>
    </xf>
    <xf numFmtId="0" fontId="81" fillId="0" borderId="4" xfId="0" applyFont="1" applyBorder="1" applyAlignment="1">
      <alignment horizontal="center" wrapText="1"/>
    </xf>
    <xf numFmtId="2" fontId="91" fillId="0" borderId="18" xfId="121" applyNumberFormat="1" applyFont="1" applyBorder="1" applyAlignment="1">
      <alignment horizontal="center" vertical="center" wrapText="1"/>
    </xf>
    <xf numFmtId="0" fontId="127" fillId="0" borderId="47" xfId="121" applyFont="1" applyBorder="1" applyAlignment="1">
      <alignment horizontal="right" wrapText="1"/>
    </xf>
    <xf numFmtId="0" fontId="127" fillId="0" borderId="49" xfId="121" applyFont="1" applyBorder="1" applyAlignment="1">
      <alignment horizontal="right" wrapText="1"/>
    </xf>
    <xf numFmtId="0" fontId="116" fillId="0" borderId="15" xfId="121" applyFont="1" applyBorder="1" applyAlignment="1">
      <alignment horizontal="center" vertical="center" wrapText="1"/>
    </xf>
    <xf numFmtId="0" fontId="116" fillId="0" borderId="0" xfId="121" applyFont="1" applyAlignment="1">
      <alignment horizontal="center" vertical="center" wrapText="1"/>
    </xf>
    <xf numFmtId="0" fontId="116" fillId="0" borderId="16" xfId="121" applyFont="1" applyBorder="1" applyAlignment="1">
      <alignment horizontal="center" vertical="center" wrapText="1"/>
    </xf>
    <xf numFmtId="0" fontId="59" fillId="0" borderId="0" xfId="0" applyFont="1" applyAlignment="1">
      <alignment horizontal="center" vertical="top"/>
    </xf>
    <xf numFmtId="0" fontId="98" fillId="0" borderId="0" xfId="121" applyFont="1" applyAlignment="1">
      <alignment horizontal="left" vertical="center"/>
    </xf>
    <xf numFmtId="0" fontId="91" fillId="0" borderId="18" xfId="121" applyFont="1" applyBorder="1" applyAlignment="1">
      <alignment vertical="center" wrapText="1"/>
    </xf>
    <xf numFmtId="0" fontId="9" fillId="0" borderId="21" xfId="121" applyFont="1" applyBorder="1" applyAlignment="1">
      <alignment horizontal="center" vertical="center" wrapText="1"/>
    </xf>
    <xf numFmtId="0" fontId="9" fillId="0" borderId="37" xfId="121" applyFont="1" applyBorder="1" applyAlignment="1">
      <alignment horizontal="center" vertical="center" wrapText="1"/>
    </xf>
    <xf numFmtId="0" fontId="9" fillId="0" borderId="30" xfId="121" applyFont="1" applyBorder="1" applyAlignment="1">
      <alignment horizontal="center" vertical="center" wrapText="1"/>
    </xf>
    <xf numFmtId="0" fontId="3" fillId="0" borderId="18" xfId="121" applyFont="1" applyBorder="1" applyAlignment="1">
      <alignment horizontal="center" vertical="center" wrapText="1"/>
    </xf>
    <xf numFmtId="0" fontId="9" fillId="0" borderId="18" xfId="121" applyFont="1" applyBorder="1" applyAlignment="1">
      <alignment horizontal="center" vertical="center" wrapText="1"/>
    </xf>
    <xf numFmtId="0" fontId="3" fillId="0" borderId="19" xfId="121" applyFont="1" applyBorder="1" applyAlignment="1">
      <alignment horizontal="center" vertical="center" wrapText="1"/>
    </xf>
    <xf numFmtId="0" fontId="9" fillId="0" borderId="19" xfId="121" applyFont="1" applyBorder="1" applyAlignment="1">
      <alignment horizontal="center" vertical="center" wrapText="1"/>
    </xf>
    <xf numFmtId="0" fontId="95" fillId="0" borderId="83" xfId="0" applyFont="1" applyBorder="1" applyAlignment="1">
      <alignment horizontal="left" vertical="center" wrapText="1"/>
    </xf>
    <xf numFmtId="0" fontId="95" fillId="0" borderId="51" xfId="0" applyFont="1" applyBorder="1" applyAlignment="1">
      <alignment horizontal="left" vertical="center" wrapText="1"/>
    </xf>
    <xf numFmtId="0" fontId="95" fillId="0" borderId="79" xfId="0" applyFont="1" applyBorder="1" applyAlignment="1">
      <alignment horizontal="left" vertical="center" wrapText="1"/>
    </xf>
    <xf numFmtId="0" fontId="94" fillId="0" borderId="15" xfId="0" applyFont="1" applyBorder="1" applyAlignment="1">
      <alignment horizontal="left" vertical="center" wrapText="1"/>
    </xf>
    <xf numFmtId="0" fontId="94" fillId="0" borderId="0" xfId="0" applyFont="1" applyAlignment="1">
      <alignment horizontal="left" vertical="center" wrapText="1"/>
    </xf>
    <xf numFmtId="0" fontId="94" fillId="0" borderId="16" xfId="0" applyFont="1" applyBorder="1" applyAlignment="1">
      <alignment horizontal="left" vertical="center" wrapText="1"/>
    </xf>
    <xf numFmtId="0" fontId="94" fillId="0" borderId="0" xfId="0" applyFont="1" applyAlignment="1">
      <alignment horizontal="center" vertical="center" wrapText="1"/>
    </xf>
    <xf numFmtId="0" fontId="94" fillId="0" borderId="16" xfId="0" applyFont="1" applyBorder="1" applyAlignment="1">
      <alignment horizontal="center" vertical="center" wrapText="1"/>
    </xf>
    <xf numFmtId="0" fontId="90" fillId="0" borderId="15" xfId="0" applyFont="1" applyBorder="1" applyAlignment="1">
      <alignment horizontal="center" vertical="center" wrapText="1"/>
    </xf>
    <xf numFmtId="0" fontId="90" fillId="0" borderId="0" xfId="0" applyFont="1" applyAlignment="1">
      <alignment horizontal="center" vertical="center" wrapText="1"/>
    </xf>
    <xf numFmtId="0" fontId="90" fillId="0" borderId="16" xfId="0" applyFont="1" applyBorder="1" applyAlignment="1">
      <alignment horizontal="center" vertical="center" wrapText="1"/>
    </xf>
    <xf numFmtId="0" fontId="91" fillId="0" borderId="15" xfId="0" applyFont="1" applyBorder="1" applyAlignment="1">
      <alignment horizontal="left" vertical="center" wrapText="1"/>
    </xf>
    <xf numFmtId="0" fontId="91" fillId="0" borderId="0" xfId="0" applyFont="1" applyAlignment="1">
      <alignment horizontal="left" vertical="center" wrapText="1"/>
    </xf>
    <xf numFmtId="0" fontId="91" fillId="0" borderId="16" xfId="0" applyFont="1" applyBorder="1" applyAlignment="1">
      <alignment horizontal="left" vertical="center" wrapText="1"/>
    </xf>
    <xf numFmtId="0" fontId="94" fillId="0" borderId="18" xfId="0" applyFont="1" applyBorder="1" applyAlignment="1">
      <alignment horizontal="center" vertical="center" wrapText="1"/>
    </xf>
    <xf numFmtId="0" fontId="94" fillId="0" borderId="20" xfId="0" applyFont="1" applyBorder="1" applyAlignment="1">
      <alignment horizontal="center" vertical="center" wrapText="1"/>
    </xf>
    <xf numFmtId="0" fontId="94" fillId="0" borderId="36" xfId="0" applyFont="1" applyBorder="1" applyAlignment="1">
      <alignment horizontal="center" vertical="center" wrapText="1"/>
    </xf>
    <xf numFmtId="0" fontId="113" fillId="0" borderId="15" xfId="125" applyFont="1" applyBorder="1" applyAlignment="1">
      <alignment horizontal="center" vertical="center"/>
    </xf>
    <xf numFmtId="0" fontId="113" fillId="0" borderId="0" xfId="125" applyFont="1" applyAlignment="1">
      <alignment horizontal="center" vertical="center"/>
    </xf>
    <xf numFmtId="0" fontId="113" fillId="0" borderId="16" xfId="125" applyFont="1" applyBorder="1" applyAlignment="1">
      <alignment horizontal="center" vertical="center"/>
    </xf>
    <xf numFmtId="0" fontId="114" fillId="0" borderId="47" xfId="125" applyFont="1" applyBorder="1" applyAlignment="1">
      <alignment horizontal="left" vertical="center"/>
    </xf>
    <xf numFmtId="0" fontId="114" fillId="0" borderId="49" xfId="125" applyFont="1" applyBorder="1" applyAlignment="1">
      <alignment horizontal="left" vertical="center"/>
    </xf>
    <xf numFmtId="0" fontId="142" fillId="0" borderId="15" xfId="1" applyFont="1" applyBorder="1" applyAlignment="1">
      <alignment horizontal="center" vertical="center"/>
    </xf>
    <xf numFmtId="0" fontId="142" fillId="0" borderId="0" xfId="1" applyFont="1" applyAlignment="1">
      <alignment horizontal="center" vertical="center"/>
    </xf>
    <xf numFmtId="0" fontId="142" fillId="0" borderId="16" xfId="1" applyFont="1" applyBorder="1" applyAlignment="1">
      <alignment horizontal="center" vertical="center"/>
    </xf>
    <xf numFmtId="0" fontId="147" fillId="0" borderId="47" xfId="1" applyFont="1" applyBorder="1" applyAlignment="1">
      <alignment horizontal="right" vertical="center"/>
    </xf>
    <xf numFmtId="0" fontId="147" fillId="0" borderId="49" xfId="1" applyFont="1" applyBorder="1" applyAlignment="1">
      <alignment horizontal="right" vertical="center"/>
    </xf>
    <xf numFmtId="0" fontId="156" fillId="0" borderId="0" xfId="0" applyFont="1" applyAlignment="1">
      <alignment horizontal="left" vertical="top" wrapText="1"/>
    </xf>
    <xf numFmtId="0" fontId="108" fillId="0" borderId="15" xfId="0" applyFont="1" applyBorder="1" applyAlignment="1">
      <alignment horizontal="center" vertical="top" wrapText="1"/>
    </xf>
    <xf numFmtId="0" fontId="108" fillId="0" borderId="0" xfId="0" applyFont="1" applyAlignment="1">
      <alignment horizontal="center" vertical="top" wrapText="1"/>
    </xf>
    <xf numFmtId="0" fontId="108" fillId="0" borderId="16" xfId="0" applyFont="1" applyBorder="1" applyAlignment="1">
      <alignment horizontal="center" vertical="top" wrapText="1"/>
    </xf>
    <xf numFmtId="0" fontId="152" fillId="0" borderId="0" xfId="126" applyFont="1" applyAlignment="1">
      <alignment horizontal="left" vertical="top"/>
    </xf>
    <xf numFmtId="0" fontId="152" fillId="0" borderId="0" xfId="126" applyFont="1" applyAlignment="1">
      <alignment horizontal="left" vertical="top" wrapText="1"/>
    </xf>
    <xf numFmtId="0" fontId="150" fillId="0" borderId="0" xfId="126" applyFont="1" applyAlignment="1">
      <alignment horizontal="left" wrapText="1"/>
    </xf>
    <xf numFmtId="0" fontId="150" fillId="0" borderId="15" xfId="126" applyFont="1" applyBorder="1" applyAlignment="1">
      <alignment horizontal="center"/>
    </xf>
    <xf numFmtId="0" fontId="150" fillId="0" borderId="0" xfId="126" applyFont="1" applyAlignment="1">
      <alignment horizontal="center"/>
    </xf>
    <xf numFmtId="0" fontId="150" fillId="0" borderId="16" xfId="126" applyFont="1" applyBorder="1" applyAlignment="1">
      <alignment horizontal="center"/>
    </xf>
    <xf numFmtId="0" fontId="152" fillId="0" borderId="0" xfId="126" applyFont="1" applyAlignment="1">
      <alignment horizontal="left" vertical="center" wrapText="1"/>
    </xf>
    <xf numFmtId="0" fontId="80" fillId="0" borderId="15" xfId="130" applyBorder="1" applyAlignment="1">
      <alignment horizontal="center" vertical="center" wrapText="1"/>
    </xf>
    <xf numFmtId="0" fontId="80" fillId="0" borderId="23" xfId="130" applyBorder="1" applyAlignment="1">
      <alignment horizontal="center" vertical="center" wrapText="1"/>
    </xf>
    <xf numFmtId="0" fontId="43" fillId="0" borderId="0" xfId="130" applyFont="1" applyAlignment="1">
      <alignment horizontal="left" vertical="center" wrapText="1"/>
    </xf>
    <xf numFmtId="0" fontId="80" fillId="0" borderId="0" xfId="130" applyAlignment="1">
      <alignment horizontal="left" vertical="center" wrapText="1"/>
    </xf>
    <xf numFmtId="0" fontId="80" fillId="0" borderId="16" xfId="130" applyBorder="1" applyAlignment="1">
      <alignment horizontal="left" vertical="center" wrapText="1"/>
    </xf>
    <xf numFmtId="0" fontId="80" fillId="0" borderId="24" xfId="130" applyBorder="1" applyAlignment="1">
      <alignment horizontal="center" vertical="center" wrapText="1"/>
    </xf>
    <xf numFmtId="0" fontId="45" fillId="0" borderId="24" xfId="130" applyFont="1" applyBorder="1" applyAlignment="1">
      <alignment horizontal="center" vertical="center" wrapText="1"/>
    </xf>
    <xf numFmtId="0" fontId="45" fillId="0" borderId="25" xfId="130" applyFont="1" applyBorder="1" applyAlignment="1">
      <alignment horizontal="center" vertical="center" wrapText="1"/>
    </xf>
    <xf numFmtId="0" fontId="71" fillId="0" borderId="15" xfId="1" applyFont="1" applyBorder="1" applyAlignment="1">
      <alignment horizontal="center" vertical="center" wrapText="1"/>
    </xf>
    <xf numFmtId="0" fontId="71" fillId="0" borderId="0" xfId="1" applyFont="1" applyAlignment="1">
      <alignment horizontal="center" vertical="center" wrapText="1"/>
    </xf>
    <xf numFmtId="0" fontId="71" fillId="0" borderId="16" xfId="1" applyFont="1" applyBorder="1" applyAlignment="1">
      <alignment horizontal="center" vertical="center" wrapText="1"/>
    </xf>
    <xf numFmtId="0" fontId="45" fillId="0" borderId="20" xfId="130" applyFont="1" applyBorder="1" applyAlignment="1">
      <alignment horizontal="center" vertical="center" wrapText="1"/>
    </xf>
    <xf numFmtId="0" fontId="45" fillId="0" borderId="84" xfId="130" applyFont="1" applyBorder="1" applyAlignment="1">
      <alignment horizontal="center" vertical="center" wrapText="1"/>
    </xf>
    <xf numFmtId="0" fontId="45" fillId="0" borderId="36" xfId="130" applyFont="1" applyBorder="1" applyAlignment="1">
      <alignment horizontal="center" vertical="center" wrapText="1"/>
    </xf>
    <xf numFmtId="0" fontId="45" fillId="0" borderId="21" xfId="130" applyFont="1" applyBorder="1" applyAlignment="1">
      <alignment horizontal="center" vertical="center"/>
    </xf>
    <xf numFmtId="0" fontId="45" fillId="0" borderId="41" xfId="130" applyFont="1" applyBorder="1" applyAlignment="1">
      <alignment horizontal="center" vertical="center"/>
    </xf>
    <xf numFmtId="0" fontId="45" fillId="0" borderId="37" xfId="130" applyFont="1" applyBorder="1" applyAlignment="1">
      <alignment horizontal="center" vertical="center"/>
    </xf>
    <xf numFmtId="0" fontId="45" fillId="0" borderId="21" xfId="130" applyFont="1" applyBorder="1" applyAlignment="1">
      <alignment horizontal="center" vertical="center" wrapText="1"/>
    </xf>
    <xf numFmtId="0" fontId="45" fillId="0" borderId="41" xfId="130" applyFont="1" applyBorder="1" applyAlignment="1">
      <alignment horizontal="center" vertical="center" wrapText="1"/>
    </xf>
    <xf numFmtId="0" fontId="45" fillId="0" borderId="37" xfId="130" applyFont="1" applyBorder="1" applyAlignment="1">
      <alignment horizontal="center" vertical="center" wrapText="1"/>
    </xf>
    <xf numFmtId="17" fontId="65" fillId="0" borderId="21" xfId="131" applyNumberFormat="1" applyFont="1" applyBorder="1" applyAlignment="1">
      <alignment horizontal="center" vertical="center"/>
    </xf>
    <xf numFmtId="0" fontId="65" fillId="0" borderId="41" xfId="131" applyFont="1" applyBorder="1" applyAlignment="1">
      <alignment horizontal="center" vertical="center"/>
    </xf>
    <xf numFmtId="0" fontId="65" fillId="0" borderId="37" xfId="131" applyFont="1" applyBorder="1" applyAlignment="1">
      <alignment horizontal="center" vertical="center"/>
    </xf>
    <xf numFmtId="17" fontId="65" fillId="0" borderId="22" xfId="131" applyNumberFormat="1" applyFont="1" applyBorder="1" applyAlignment="1">
      <alignment horizontal="center" vertical="center"/>
    </xf>
    <xf numFmtId="0" fontId="65" fillId="0" borderId="74" xfId="131" applyFont="1" applyBorder="1" applyAlignment="1">
      <alignment horizontal="center" vertical="center"/>
    </xf>
    <xf numFmtId="0" fontId="65" fillId="0" borderId="40" xfId="131" applyFont="1" applyBorder="1" applyAlignment="1">
      <alignment horizontal="center" vertical="center"/>
    </xf>
    <xf numFmtId="0" fontId="178" fillId="0" borderId="0" xfId="130" applyFont="1" applyAlignment="1">
      <alignment horizontal="center" vertical="top" wrapText="1"/>
    </xf>
    <xf numFmtId="0" fontId="168" fillId="0" borderId="0" xfId="130" applyFont="1" applyAlignment="1">
      <alignment horizontal="left" vertical="center" wrapText="1"/>
    </xf>
    <xf numFmtId="0" fontId="45" fillId="0" borderId="50" xfId="130" applyFont="1" applyBorder="1" applyAlignment="1">
      <alignment horizontal="center" vertical="center" wrapText="1"/>
    </xf>
    <xf numFmtId="0" fontId="45" fillId="0" borderId="53" xfId="130" applyFont="1" applyBorder="1" applyAlignment="1">
      <alignment horizontal="center" vertical="center" wrapText="1"/>
    </xf>
    <xf numFmtId="0" fontId="45" fillId="0" borderId="61" xfId="130" applyFont="1" applyBorder="1" applyAlignment="1">
      <alignment horizontal="center" vertical="center" wrapText="1"/>
    </xf>
    <xf numFmtId="0" fontId="45" fillId="0" borderId="18" xfId="130" applyFont="1" applyBorder="1" applyAlignment="1">
      <alignment horizontal="center" vertical="center" wrapText="1"/>
    </xf>
    <xf numFmtId="0" fontId="45" fillId="0" borderId="30" xfId="130" applyFont="1" applyBorder="1" applyAlignment="1">
      <alignment horizontal="center" vertical="center" wrapText="1"/>
    </xf>
    <xf numFmtId="0" fontId="45" fillId="0" borderId="38" xfId="130" applyFont="1" applyBorder="1" applyAlignment="1">
      <alignment horizontal="center" vertical="center" wrapText="1"/>
    </xf>
    <xf numFmtId="0" fontId="45" fillId="0" borderId="31" xfId="130" applyFont="1" applyBorder="1" applyAlignment="1">
      <alignment horizontal="center" vertical="center" wrapText="1"/>
    </xf>
    <xf numFmtId="0" fontId="45" fillId="0" borderId="39" xfId="130" applyFont="1" applyBorder="1" applyAlignment="1">
      <alignment horizontal="center" vertical="center" wrapText="1"/>
    </xf>
    <xf numFmtId="17" fontId="45" fillId="0" borderId="50" xfId="130" applyNumberFormat="1" applyFont="1" applyBorder="1" applyAlignment="1">
      <alignment horizontal="center" vertical="center" wrapText="1"/>
    </xf>
    <xf numFmtId="0" fontId="45" fillId="0" borderId="51" xfId="130" applyFont="1" applyBorder="1" applyAlignment="1">
      <alignment horizontal="center" vertical="center" wrapText="1"/>
    </xf>
    <xf numFmtId="0" fontId="45" fillId="0" borderId="52" xfId="130" applyFont="1" applyBorder="1" applyAlignment="1">
      <alignment horizontal="center" vertical="center" wrapText="1"/>
    </xf>
    <xf numFmtId="0" fontId="45" fillId="0" borderId="47" xfId="130" applyFont="1" applyBorder="1" applyAlignment="1">
      <alignment horizontal="center" vertical="center" wrapText="1"/>
    </xf>
    <xf numFmtId="0" fontId="45" fillId="0" borderId="62" xfId="130" applyFont="1" applyBorder="1" applyAlignment="1">
      <alignment horizontal="center" vertical="center" wrapText="1"/>
    </xf>
    <xf numFmtId="0" fontId="105" fillId="0" borderId="0" xfId="2" applyFont="1" applyAlignment="1">
      <alignment horizontal="center"/>
    </xf>
    <xf numFmtId="0" fontId="63" fillId="0" borderId="0" xfId="2" applyFont="1" applyAlignment="1">
      <alignment horizontal="left" vertical="center" wrapText="1"/>
    </xf>
    <xf numFmtId="0" fontId="65" fillId="0" borderId="0" xfId="2" applyFont="1" applyAlignment="1">
      <alignment horizontal="left" vertical="top" wrapText="1"/>
    </xf>
    <xf numFmtId="0" fontId="65" fillId="0" borderId="18" xfId="1" applyFont="1" applyBorder="1" applyAlignment="1">
      <alignment horizontal="center" vertical="center" wrapText="1"/>
    </xf>
    <xf numFmtId="0" fontId="65" fillId="0" borderId="18" xfId="2" applyFont="1" applyBorder="1" applyAlignment="1">
      <alignment horizontal="center" vertical="center"/>
    </xf>
    <xf numFmtId="0" fontId="71" fillId="0" borderId="0" xfId="1" applyFont="1" applyAlignment="1">
      <alignment horizontal="center" vertical="center"/>
    </xf>
    <xf numFmtId="0" fontId="51" fillId="0" borderId="26" xfId="1" applyFont="1" applyBorder="1" applyAlignment="1">
      <alignment horizontal="center" vertical="center" wrapText="1"/>
    </xf>
    <xf numFmtId="0" fontId="51" fillId="0" borderId="17" xfId="1" applyFont="1" applyBorder="1" applyAlignment="1">
      <alignment horizontal="center" vertical="center" wrapText="1"/>
    </xf>
    <xf numFmtId="0" fontId="51" fillId="0" borderId="27" xfId="1" applyFont="1" applyBorder="1" applyAlignment="1">
      <alignment horizontal="right" vertical="center" wrapText="1" indent="4"/>
    </xf>
    <xf numFmtId="0" fontId="51" fillId="0" borderId="18" xfId="1" applyFont="1" applyBorder="1" applyAlignment="1">
      <alignment horizontal="right" vertical="center" wrapText="1" indent="4"/>
    </xf>
    <xf numFmtId="0" fontId="51" fillId="0" borderId="21" xfId="1" applyFont="1" applyBorder="1" applyAlignment="1">
      <alignment horizontal="right" vertical="center" wrapText="1" indent="4"/>
    </xf>
    <xf numFmtId="17" fontId="51" fillId="0" borderId="28" xfId="1" applyNumberFormat="1" applyFont="1" applyBorder="1" applyAlignment="1">
      <alignment horizontal="center" vertical="center" wrapText="1"/>
    </xf>
    <xf numFmtId="0" fontId="51" fillId="0" borderId="29" xfId="1" applyFont="1" applyBorder="1" applyAlignment="1">
      <alignment horizontal="center" vertical="center" wrapText="1"/>
    </xf>
    <xf numFmtId="0" fontId="73" fillId="0" borderId="30" xfId="1" applyFont="1" applyBorder="1" applyAlignment="1">
      <alignment horizontal="center" vertical="justify" wrapText="1"/>
    </xf>
    <xf numFmtId="0" fontId="73" fillId="0" borderId="31" xfId="1" applyFont="1" applyBorder="1" applyAlignment="1">
      <alignment horizontal="center" vertical="justify" wrapText="1"/>
    </xf>
    <xf numFmtId="0" fontId="73" fillId="0" borderId="18" xfId="1" applyFont="1" applyBorder="1" applyAlignment="1">
      <alignment horizontal="center" vertical="center" wrapText="1"/>
    </xf>
    <xf numFmtId="0" fontId="73" fillId="0" borderId="19" xfId="1" applyFont="1" applyBorder="1" applyAlignment="1">
      <alignment horizontal="center" vertical="center" wrapText="1"/>
    </xf>
    <xf numFmtId="0" fontId="65" fillId="0" borderId="0" xfId="63" applyFont="1" applyAlignment="1">
      <alignment horizontal="left" vertical="center" wrapText="1"/>
    </xf>
    <xf numFmtId="0" fontId="66" fillId="0" borderId="0" xfId="63" applyFont="1" applyAlignment="1">
      <alignment horizontal="center" vertical="center"/>
    </xf>
    <xf numFmtId="0" fontId="65" fillId="0" borderId="26" xfId="63" applyFont="1" applyBorder="1" applyAlignment="1">
      <alignment horizontal="center" vertical="center" wrapText="1"/>
    </xf>
    <xf numFmtId="0" fontId="65" fillId="0" borderId="17" xfId="63" applyFont="1" applyBorder="1" applyAlignment="1">
      <alignment horizontal="center" vertical="center" wrapText="1"/>
    </xf>
    <xf numFmtId="0" fontId="65" fillId="0" borderId="27" xfId="63" applyFont="1" applyBorder="1" applyAlignment="1">
      <alignment horizontal="right" vertical="center" wrapText="1" indent="4"/>
    </xf>
    <xf numFmtId="0" fontId="65" fillId="0" borderId="18" xfId="63" applyFont="1" applyBorder="1" applyAlignment="1">
      <alignment horizontal="right" vertical="center" wrapText="1" indent="4"/>
    </xf>
    <xf numFmtId="0" fontId="65" fillId="0" borderId="27" xfId="63" applyFont="1" applyBorder="1" applyAlignment="1">
      <alignment horizontal="center" vertical="center" wrapText="1"/>
    </xf>
    <xf numFmtId="0" fontId="65" fillId="0" borderId="32" xfId="63" applyFont="1" applyBorder="1" applyAlignment="1">
      <alignment horizontal="center" vertical="center" wrapText="1"/>
    </xf>
    <xf numFmtId="0" fontId="65" fillId="0" borderId="18" xfId="63" applyFont="1" applyBorder="1" applyAlignment="1">
      <alignment horizontal="center" vertical="justify" wrapText="1"/>
    </xf>
    <xf numFmtId="0" fontId="65" fillId="0" borderId="18" xfId="63" applyFont="1" applyBorder="1" applyAlignment="1">
      <alignment horizontal="center" vertical="center" wrapText="1"/>
    </xf>
    <xf numFmtId="0" fontId="65" fillId="0" borderId="19" xfId="63" applyFont="1" applyBorder="1" applyAlignment="1">
      <alignment horizontal="center" vertical="center" wrapText="1"/>
    </xf>
    <xf numFmtId="0" fontId="103" fillId="0" borderId="30" xfId="0" applyFont="1" applyBorder="1" applyAlignment="1">
      <alignment horizontal="left" vertical="center"/>
    </xf>
    <xf numFmtId="0" fontId="103" fillId="0" borderId="38" xfId="0" applyFont="1" applyBorder="1" applyAlignment="1">
      <alignment horizontal="left" vertical="center"/>
    </xf>
    <xf numFmtId="0" fontId="103" fillId="0" borderId="31" xfId="0" applyFont="1" applyBorder="1" applyAlignment="1">
      <alignment horizontal="left" vertical="center"/>
    </xf>
    <xf numFmtId="0" fontId="103" fillId="0" borderId="18" xfId="0" applyFont="1" applyBorder="1" applyAlignment="1">
      <alignment horizontal="left" vertical="top"/>
    </xf>
    <xf numFmtId="0" fontId="87" fillId="0" borderId="18" xfId="0" applyFont="1" applyBorder="1" applyAlignment="1">
      <alignment horizontal="right" vertical="center"/>
    </xf>
    <xf numFmtId="0" fontId="103" fillId="0" borderId="30" xfId="0" applyFont="1" applyBorder="1" applyAlignment="1">
      <alignment horizontal="center" vertical="center"/>
    </xf>
    <xf numFmtId="0" fontId="103" fillId="0" borderId="38" xfId="0" applyFont="1" applyBorder="1" applyAlignment="1">
      <alignment horizontal="center" vertical="center"/>
    </xf>
    <xf numFmtId="0" fontId="103" fillId="0" borderId="31" xfId="0" applyFont="1" applyBorder="1" applyAlignment="1">
      <alignment horizontal="center" vertical="center"/>
    </xf>
    <xf numFmtId="0" fontId="87" fillId="0" borderId="30" xfId="0" applyFont="1" applyBorder="1" applyAlignment="1">
      <alignment horizontal="center" vertical="center"/>
    </xf>
    <xf numFmtId="0" fontId="87" fillId="0" borderId="38" xfId="0" applyFont="1" applyBorder="1" applyAlignment="1">
      <alignment horizontal="center" vertical="center"/>
    </xf>
    <xf numFmtId="0" fontId="87" fillId="0" borderId="31" xfId="0" applyFont="1" applyBorder="1" applyAlignment="1">
      <alignment horizontal="center" vertical="center"/>
    </xf>
    <xf numFmtId="0" fontId="95" fillId="0" borderId="12" xfId="0" applyFont="1" applyBorder="1" applyAlignment="1">
      <alignment vertical="center" wrapText="1"/>
    </xf>
    <xf numFmtId="0" fontId="95" fillId="0" borderId="13" xfId="0" applyFont="1" applyBorder="1" applyAlignment="1">
      <alignment vertical="center" wrapText="1"/>
    </xf>
    <xf numFmtId="0" fontId="95" fillId="0" borderId="14" xfId="0" applyFont="1" applyBorder="1" applyAlignment="1">
      <alignment vertical="center" wrapText="1"/>
    </xf>
    <xf numFmtId="0" fontId="95" fillId="0" borderId="23" xfId="0" applyFont="1" applyBorder="1" applyAlignment="1">
      <alignment vertical="center" wrapText="1"/>
    </xf>
    <xf numFmtId="0" fontId="95" fillId="0" borderId="24" xfId="0" applyFont="1" applyBorder="1" applyAlignment="1">
      <alignment vertical="center" wrapText="1"/>
    </xf>
    <xf numFmtId="0" fontId="95" fillId="0" borderId="25" xfId="0" applyFont="1" applyBorder="1" applyAlignment="1">
      <alignment vertical="center" wrapText="1"/>
    </xf>
    <xf numFmtId="0" fontId="90" fillId="4" borderId="42" xfId="0" applyFont="1" applyFill="1" applyBorder="1" applyAlignment="1">
      <alignment horizontal="center" vertical="center" wrapText="1"/>
    </xf>
    <xf numFmtId="0" fontId="90" fillId="4" borderId="63" xfId="0" applyFont="1" applyFill="1" applyBorder="1" applyAlignment="1">
      <alignment horizontal="center" vertical="center" wrapText="1"/>
    </xf>
    <xf numFmtId="0" fontId="90" fillId="4" borderId="64" xfId="0" applyFont="1" applyFill="1" applyBorder="1" applyAlignment="1">
      <alignment horizontal="center" vertical="center" wrapText="1"/>
    </xf>
    <xf numFmtId="0" fontId="94" fillId="0" borderId="42" xfId="0" applyFont="1" applyBorder="1" applyAlignment="1">
      <alignment vertical="center" wrapText="1"/>
    </xf>
    <xf numFmtId="0" fontId="94" fillId="0" borderId="63" xfId="0" applyFont="1" applyBorder="1" applyAlignment="1">
      <alignment vertical="center" wrapText="1"/>
    </xf>
    <xf numFmtId="0" fontId="94" fillId="0" borderId="64" xfId="0" applyFont="1" applyBorder="1" applyAlignment="1">
      <alignment vertical="center" wrapText="1"/>
    </xf>
    <xf numFmtId="0" fontId="94" fillId="0" borderId="42" xfId="0" applyFont="1" applyBorder="1" applyAlignment="1">
      <alignment horizontal="center" vertical="center" wrapText="1"/>
    </xf>
    <xf numFmtId="0" fontId="94" fillId="0" borderId="63" xfId="0" applyFont="1" applyBorder="1" applyAlignment="1">
      <alignment horizontal="center" vertical="center" wrapText="1"/>
    </xf>
    <xf numFmtId="0" fontId="94" fillId="0" borderId="64" xfId="0" applyFont="1" applyBorder="1" applyAlignment="1">
      <alignment horizontal="center" vertical="center" wrapText="1"/>
    </xf>
    <xf numFmtId="0" fontId="94" fillId="5" borderId="66" xfId="0" applyFont="1" applyFill="1" applyBorder="1" applyAlignment="1">
      <alignment horizontal="center" vertical="center" wrapText="1"/>
    </xf>
    <xf numFmtId="0" fontId="94" fillId="5" borderId="67" xfId="0" applyFont="1" applyFill="1" applyBorder="1" applyAlignment="1">
      <alignment horizontal="center" vertical="center" wrapText="1"/>
    </xf>
    <xf numFmtId="0" fontId="111" fillId="0" borderId="42" xfId="123" applyFont="1" applyBorder="1" applyAlignment="1">
      <alignment horizontal="center" vertical="center" wrapText="1"/>
    </xf>
    <xf numFmtId="0" fontId="111" fillId="0" borderId="63" xfId="123" applyFont="1" applyBorder="1" applyAlignment="1">
      <alignment horizontal="center" vertical="center" wrapText="1"/>
    </xf>
    <xf numFmtId="0" fontId="111" fillId="0" borderId="68" xfId="123" applyFont="1" applyBorder="1" applyAlignment="1">
      <alignment horizontal="center" vertical="center" wrapText="1"/>
    </xf>
    <xf numFmtId="0" fontId="110" fillId="0" borderId="69" xfId="123" applyFont="1" applyBorder="1" applyAlignment="1">
      <alignment horizontal="center" vertical="center" wrapText="1"/>
    </xf>
    <xf numFmtId="0" fontId="110" fillId="0" borderId="63" xfId="123" applyFont="1" applyBorder="1" applyAlignment="1">
      <alignment horizontal="center" vertical="center" wrapText="1"/>
    </xf>
    <xf numFmtId="0" fontId="110" fillId="0" borderId="68" xfId="123" applyFont="1" applyBorder="1" applyAlignment="1">
      <alignment horizontal="center" vertical="center" wrapText="1"/>
    </xf>
    <xf numFmtId="0" fontId="91" fillId="4" borderId="42" xfId="123" applyFont="1" applyFill="1" applyBorder="1" applyAlignment="1">
      <alignment horizontal="center" vertical="center" wrapText="1"/>
    </xf>
    <xf numFmtId="0" fontId="91" fillId="4" borderId="63" xfId="123" applyFont="1" applyFill="1" applyBorder="1" applyAlignment="1">
      <alignment horizontal="center" vertical="center" wrapText="1"/>
    </xf>
    <xf numFmtId="0" fontId="91" fillId="4" borderId="68" xfId="123" applyFont="1" applyFill="1" applyBorder="1" applyAlignment="1">
      <alignment horizontal="center" vertical="center" wrapText="1"/>
    </xf>
    <xf numFmtId="0" fontId="110" fillId="0" borderId="42" xfId="123" applyFont="1" applyBorder="1" applyAlignment="1">
      <alignment vertical="center" wrapText="1"/>
    </xf>
    <xf numFmtId="0" fontId="110" fillId="0" borderId="63" xfId="123" applyFont="1" applyBorder="1" applyAlignment="1">
      <alignment vertical="center" wrapText="1"/>
    </xf>
    <xf numFmtId="0" fontId="110" fillId="0" borderId="64" xfId="123" applyFont="1" applyBorder="1" applyAlignment="1">
      <alignment vertical="center" wrapText="1"/>
    </xf>
    <xf numFmtId="0" fontId="20" fillId="0" borderId="42" xfId="123" applyFont="1" applyBorder="1" applyAlignment="1">
      <alignment horizontal="center" vertical="center" wrapText="1"/>
    </xf>
    <xf numFmtId="0" fontId="20" fillId="0" borderId="63" xfId="123" applyFont="1" applyBorder="1" applyAlignment="1">
      <alignment horizontal="center" vertical="center" wrapText="1"/>
    </xf>
    <xf numFmtId="0" fontId="20" fillId="0" borderId="68" xfId="123" applyFont="1" applyBorder="1" applyAlignment="1">
      <alignment horizontal="center" vertical="center" wrapText="1"/>
    </xf>
    <xf numFmtId="0" fontId="110" fillId="0" borderId="66" xfId="123" applyFont="1" applyBorder="1" applyAlignment="1">
      <alignment vertical="center" wrapText="1"/>
    </xf>
    <xf numFmtId="0" fontId="110" fillId="0" borderId="65" xfId="123" applyFont="1" applyBorder="1" applyAlignment="1">
      <alignment vertical="center" wrapText="1"/>
    </xf>
    <xf numFmtId="0" fontId="110" fillId="0" borderId="67" xfId="123" applyFont="1" applyBorder="1" applyAlignment="1">
      <alignment vertical="center" wrapText="1"/>
    </xf>
    <xf numFmtId="0" fontId="110" fillId="5" borderId="12" xfId="123" applyFont="1" applyFill="1" applyBorder="1" applyAlignment="1">
      <alignment horizontal="center" vertical="center" wrapText="1"/>
    </xf>
    <xf numFmtId="0" fontId="110" fillId="5" borderId="14" xfId="123" applyFont="1" applyFill="1" applyBorder="1" applyAlignment="1">
      <alignment horizontal="center" vertical="center" wrapText="1"/>
    </xf>
    <xf numFmtId="0" fontId="110" fillId="5" borderId="66" xfId="123" applyFont="1" applyFill="1" applyBorder="1" applyAlignment="1">
      <alignment vertical="center" wrapText="1"/>
    </xf>
    <xf numFmtId="0" fontId="110" fillId="5" borderId="65" xfId="123" applyFont="1" applyFill="1" applyBorder="1" applyAlignment="1">
      <alignment vertical="center" wrapText="1"/>
    </xf>
    <xf numFmtId="0" fontId="110" fillId="5" borderId="67" xfId="123" applyFont="1" applyFill="1" applyBorder="1" applyAlignment="1">
      <alignment vertical="center" wrapText="1"/>
    </xf>
    <xf numFmtId="0" fontId="110" fillId="5" borderId="15" xfId="123" applyFont="1" applyFill="1" applyBorder="1" applyAlignment="1">
      <alignment horizontal="center" vertical="center" wrapText="1"/>
    </xf>
    <xf numFmtId="0" fontId="110" fillId="5" borderId="16" xfId="123" applyFont="1" applyFill="1" applyBorder="1" applyAlignment="1">
      <alignment horizontal="center" vertical="center" wrapText="1"/>
    </xf>
    <xf numFmtId="0" fontId="12" fillId="5" borderId="23" xfId="123" applyFill="1" applyBorder="1" applyAlignment="1">
      <alignment vertical="center" wrapText="1"/>
    </xf>
    <xf numFmtId="0" fontId="12" fillId="5" borderId="25" xfId="123" applyFill="1" applyBorder="1" applyAlignment="1">
      <alignment vertical="center" wrapText="1"/>
    </xf>
    <xf numFmtId="0" fontId="20" fillId="0" borderId="42" xfId="123" applyFont="1" applyBorder="1" applyAlignment="1">
      <alignment horizontal="right" vertical="center" wrapText="1"/>
    </xf>
    <xf numFmtId="0" fontId="20" fillId="0" borderId="63" xfId="123" applyFont="1" applyBorder="1" applyAlignment="1">
      <alignment horizontal="right" vertical="center" wrapText="1"/>
    </xf>
    <xf numFmtId="0" fontId="20" fillId="0" borderId="64" xfId="123" applyFont="1" applyBorder="1" applyAlignment="1">
      <alignment horizontal="right" vertical="center" wrapText="1"/>
    </xf>
    <xf numFmtId="0" fontId="20" fillId="0" borderId="42" xfId="123" applyFont="1" applyBorder="1" applyAlignment="1">
      <alignment vertical="center" wrapText="1"/>
    </xf>
    <xf numFmtId="0" fontId="20" fillId="0" borderId="63" xfId="123" applyFont="1" applyBorder="1" applyAlignment="1">
      <alignment vertical="center" wrapText="1"/>
    </xf>
    <xf numFmtId="0" fontId="20" fillId="0" borderId="64" xfId="123" applyFont="1" applyBorder="1" applyAlignment="1">
      <alignment vertical="center" wrapText="1"/>
    </xf>
    <xf numFmtId="0" fontId="20" fillId="0" borderId="68" xfId="123" applyFont="1" applyBorder="1" applyAlignment="1">
      <alignment horizontal="right" vertical="center" wrapText="1"/>
    </xf>
    <xf numFmtId="0" fontId="20" fillId="0" borderId="69" xfId="123" applyFont="1" applyBorder="1" applyAlignment="1">
      <alignment horizontal="right" vertical="center" wrapText="1"/>
    </xf>
    <xf numFmtId="0" fontId="20" fillId="0" borderId="68" xfId="123" applyFont="1" applyBorder="1" applyAlignment="1">
      <alignment vertical="center" wrapText="1"/>
    </xf>
    <xf numFmtId="0" fontId="65" fillId="6" borderId="2" xfId="133" applyFont="1" applyFill="1" applyBorder="1" applyAlignment="1">
      <alignment horizontal="center" vertical="center" wrapText="1"/>
    </xf>
    <xf numFmtId="0" fontId="65" fillId="6" borderId="3" xfId="133" applyFont="1" applyFill="1" applyBorder="1" applyAlignment="1">
      <alignment horizontal="center" vertical="center" wrapText="1"/>
    </xf>
    <xf numFmtId="0" fontId="65" fillId="6" borderId="89" xfId="133" applyFont="1" applyFill="1" applyBorder="1" applyAlignment="1">
      <alignment horizontal="center" vertical="center" wrapText="1"/>
    </xf>
    <xf numFmtId="0" fontId="63" fillId="0" borderId="2" xfId="133" applyFont="1" applyBorder="1" applyAlignment="1">
      <alignment horizontal="left" vertical="center" wrapText="1"/>
    </xf>
    <xf numFmtId="0" fontId="63" fillId="0" borderId="4" xfId="133" applyFont="1" applyBorder="1" applyAlignment="1">
      <alignment horizontal="left" vertical="center" wrapText="1"/>
    </xf>
    <xf numFmtId="0" fontId="65" fillId="0" borderId="73" xfId="133" applyFont="1" applyBorder="1" applyAlignment="1">
      <alignment horizontal="center" vertical="center" wrapText="1"/>
    </xf>
    <xf numFmtId="0" fontId="65" fillId="0" borderId="92" xfId="133" applyFont="1" applyBorder="1" applyAlignment="1">
      <alignment horizontal="center" vertical="center" wrapText="1"/>
    </xf>
    <xf numFmtId="0" fontId="65" fillId="0" borderId="43" xfId="133" applyFont="1" applyBorder="1" applyAlignment="1">
      <alignment horizontal="center" vertical="center" wrapText="1"/>
    </xf>
    <xf numFmtId="0" fontId="65" fillId="0" borderId="5" xfId="133" applyFont="1" applyBorder="1" applyAlignment="1">
      <alignment horizontal="center" vertical="center" wrapText="1"/>
    </xf>
    <xf numFmtId="0" fontId="65" fillId="0" borderId="8" xfId="133" applyFont="1" applyBorder="1" applyAlignment="1">
      <alignment horizontal="center" vertical="center" wrapText="1"/>
    </xf>
    <xf numFmtId="0" fontId="65" fillId="0" borderId="77" xfId="133" applyFont="1" applyBorder="1" applyAlignment="1">
      <alignment horizontal="center" vertical="center" wrapText="1"/>
    </xf>
    <xf numFmtId="0" fontId="65" fillId="0" borderId="88" xfId="133" applyFont="1" applyBorder="1" applyAlignment="1">
      <alignment horizontal="center" vertical="center" wrapText="1"/>
    </xf>
    <xf numFmtId="0" fontId="65" fillId="0" borderId="9" xfId="133" applyFont="1" applyBorder="1" applyAlignment="1">
      <alignment horizontal="center" vertical="center" wrapText="1"/>
    </xf>
    <xf numFmtId="0" fontId="65" fillId="0" borderId="10" xfId="133" applyFont="1" applyBorder="1" applyAlignment="1">
      <alignment horizontal="center" vertical="center" wrapText="1"/>
    </xf>
    <xf numFmtId="0" fontId="65" fillId="0" borderId="7" xfId="133" applyFont="1" applyBorder="1" applyAlignment="1">
      <alignment horizontal="center" vertical="center" wrapText="1"/>
    </xf>
    <xf numFmtId="0" fontId="65" fillId="0" borderId="87" xfId="133" applyFont="1" applyBorder="1" applyAlignment="1">
      <alignment horizontal="center" vertical="center" wrapText="1"/>
    </xf>
    <xf numFmtId="0" fontId="65" fillId="0" borderId="11" xfId="133" applyFont="1" applyBorder="1" applyAlignment="1">
      <alignment horizontal="center" vertical="center" wrapText="1"/>
    </xf>
    <xf numFmtId="0" fontId="63" fillId="0" borderId="15" xfId="133" applyFont="1" applyBorder="1" applyAlignment="1">
      <alignment horizontal="left" vertical="center" wrapText="1"/>
    </xf>
    <xf numFmtId="0" fontId="63" fillId="0" borderId="0" xfId="133" applyFont="1" applyAlignment="1">
      <alignment horizontal="left" vertical="center" wrapText="1"/>
    </xf>
    <xf numFmtId="0" fontId="63" fillId="0" borderId="16" xfId="133" applyFont="1" applyBorder="1" applyAlignment="1">
      <alignment horizontal="left" vertical="center" wrapText="1"/>
    </xf>
    <xf numFmtId="0" fontId="65" fillId="0" borderId="17" xfId="133" applyFont="1" applyBorder="1" applyAlignment="1">
      <alignment horizontal="left" vertical="center" wrapText="1"/>
    </xf>
    <xf numFmtId="0" fontId="65" fillId="0" borderId="18" xfId="133" applyFont="1" applyBorder="1" applyAlignment="1">
      <alignment horizontal="center" vertical="center" wrapText="1"/>
    </xf>
    <xf numFmtId="0" fontId="65" fillId="6" borderId="18" xfId="133" applyFont="1" applyFill="1" applyBorder="1" applyAlignment="1">
      <alignment horizontal="center" vertical="top" wrapText="1"/>
    </xf>
    <xf numFmtId="0" fontId="65" fillId="6" borderId="19" xfId="133" applyFont="1" applyFill="1" applyBorder="1" applyAlignment="1">
      <alignment horizontal="center" vertical="top" wrapText="1"/>
    </xf>
    <xf numFmtId="0" fontId="87" fillId="0" borderId="0" xfId="133" applyFont="1" applyAlignment="1">
      <alignment horizontal="center" vertical="top"/>
    </xf>
    <xf numFmtId="0" fontId="87" fillId="0" borderId="16" xfId="133" applyFont="1" applyBorder="1" applyAlignment="1">
      <alignment horizontal="center" vertical="top"/>
    </xf>
    <xf numFmtId="0" fontId="65" fillId="6" borderId="2" xfId="133" applyFont="1" applyFill="1" applyBorder="1" applyAlignment="1">
      <alignment horizontal="center" vertical="top" wrapText="1"/>
    </xf>
    <xf numFmtId="0" fontId="65" fillId="6" borderId="3" xfId="133" applyFont="1" applyFill="1" applyBorder="1" applyAlignment="1">
      <alignment horizontal="center" vertical="top" wrapText="1"/>
    </xf>
    <xf numFmtId="0" fontId="65" fillId="6" borderId="89" xfId="133" applyFont="1" applyFill="1" applyBorder="1" applyAlignment="1">
      <alignment horizontal="center" vertical="top" wrapText="1"/>
    </xf>
    <xf numFmtId="0" fontId="103" fillId="0" borderId="17" xfId="0" applyFont="1" applyBorder="1" applyAlignment="1">
      <alignment horizontal="center" vertical="center" wrapText="1"/>
    </xf>
    <xf numFmtId="0" fontId="169" fillId="0" borderId="15" xfId="0" applyFont="1" applyBorder="1" applyAlignment="1">
      <alignment horizontal="center" vertical="center" wrapText="1"/>
    </xf>
    <xf numFmtId="0" fontId="169" fillId="0" borderId="0" xfId="0" applyFont="1" applyAlignment="1">
      <alignment horizontal="center" vertical="center" wrapText="1"/>
    </xf>
    <xf numFmtId="0" fontId="169" fillId="0" borderId="16" xfId="0" applyFont="1" applyBorder="1" applyAlignment="1">
      <alignment horizontal="center" vertical="center" wrapText="1"/>
    </xf>
    <xf numFmtId="0" fontId="91" fillId="0" borderId="72" xfId="121" applyFont="1" applyBorder="1" applyAlignment="1">
      <alignment horizontal="center" vertical="center" wrapText="1"/>
    </xf>
    <xf numFmtId="0" fontId="91" fillId="0" borderId="40" xfId="121" applyFont="1" applyBorder="1" applyAlignment="1">
      <alignment horizontal="center" vertical="center" wrapText="1"/>
    </xf>
    <xf numFmtId="0" fontId="94" fillId="0" borderId="71" xfId="121" applyFont="1" applyBorder="1" applyAlignment="1">
      <alignment horizontal="center" vertical="center" wrapText="1"/>
    </xf>
    <xf numFmtId="0" fontId="94" fillId="0" borderId="37" xfId="121" applyFont="1" applyBorder="1" applyAlignment="1">
      <alignment horizontal="center" vertical="center" wrapText="1"/>
    </xf>
    <xf numFmtId="0" fontId="91" fillId="0" borderId="30" xfId="121" applyFont="1" applyBorder="1" applyAlignment="1">
      <alignment horizontal="left" vertical="center"/>
    </xf>
    <xf numFmtId="0" fontId="91" fillId="0" borderId="38" xfId="121" applyFont="1" applyBorder="1" applyAlignment="1">
      <alignment horizontal="left" vertical="center"/>
    </xf>
    <xf numFmtId="0" fontId="91" fillId="0" borderId="39" xfId="121" applyFont="1" applyBorder="1" applyAlignment="1">
      <alignment horizontal="left" vertical="center"/>
    </xf>
    <xf numFmtId="0" fontId="90" fillId="0" borderId="30" xfId="121" applyFont="1" applyBorder="1" applyAlignment="1">
      <alignment horizontal="left" vertical="center"/>
    </xf>
    <xf numFmtId="0" fontId="90" fillId="0" borderId="38" xfId="121" applyFont="1" applyBorder="1" applyAlignment="1">
      <alignment horizontal="left" vertical="center"/>
    </xf>
    <xf numFmtId="0" fontId="90" fillId="0" borderId="39" xfId="121" applyFont="1" applyBorder="1" applyAlignment="1">
      <alignment horizontal="left" vertical="center"/>
    </xf>
    <xf numFmtId="0" fontId="94" fillId="0" borderId="41" xfId="121" applyFont="1" applyBorder="1" applyAlignment="1">
      <alignment horizontal="center" vertical="center" wrapText="1"/>
    </xf>
    <xf numFmtId="0" fontId="94" fillId="0" borderId="80" xfId="121" applyFont="1" applyBorder="1" applyAlignment="1">
      <alignment horizontal="center" vertical="center" wrapText="1"/>
    </xf>
    <xf numFmtId="0" fontId="94" fillId="0" borderId="61" xfId="121" applyFont="1" applyBorder="1" applyAlignment="1">
      <alignment horizontal="center" vertical="center" wrapText="1"/>
    </xf>
    <xf numFmtId="0" fontId="107" fillId="0" borderId="81" xfId="121" applyFont="1" applyBorder="1" applyAlignment="1">
      <alignment horizontal="center" vertical="center" wrapText="1"/>
    </xf>
    <xf numFmtId="0" fontId="107" fillId="0" borderId="36" xfId="121" applyFont="1" applyBorder="1" applyAlignment="1">
      <alignment horizontal="center" vertical="center" wrapText="1"/>
    </xf>
    <xf numFmtId="0" fontId="91" fillId="0" borderId="80" xfId="121" applyFont="1" applyBorder="1" applyAlignment="1">
      <alignment horizontal="center" vertical="center" wrapText="1"/>
    </xf>
    <xf numFmtId="0" fontId="91" fillId="0" borderId="26" xfId="121" applyFont="1" applyBorder="1" applyAlignment="1">
      <alignment horizontal="center" vertical="center" wrapText="1"/>
    </xf>
    <xf numFmtId="0" fontId="91" fillId="0" borderId="71" xfId="121" applyFont="1" applyBorder="1" applyAlignment="1">
      <alignment horizontal="center" vertical="center" wrapText="1"/>
    </xf>
    <xf numFmtId="0" fontId="98" fillId="0" borderId="30" xfId="121" applyFont="1" applyBorder="1" applyAlignment="1">
      <alignment horizontal="center" vertical="center" wrapText="1"/>
    </xf>
    <xf numFmtId="0" fontId="98" fillId="0" borderId="38" xfId="121" applyFont="1" applyBorder="1" applyAlignment="1">
      <alignment horizontal="center" vertical="center" wrapText="1"/>
    </xf>
    <xf numFmtId="0" fontId="98" fillId="0" borderId="39" xfId="121" applyFont="1" applyBorder="1" applyAlignment="1">
      <alignment horizontal="center" vertical="center" wrapText="1"/>
    </xf>
    <xf numFmtId="0" fontId="114" fillId="0" borderId="18" xfId="121" applyFont="1" applyBorder="1" applyAlignment="1">
      <alignment horizontal="left" vertical="center" wrapText="1"/>
    </xf>
    <xf numFmtId="0" fontId="114" fillId="0" borderId="19" xfId="121" applyFont="1" applyBorder="1" applyAlignment="1">
      <alignment horizontal="left" vertical="center" wrapText="1"/>
    </xf>
    <xf numFmtId="0" fontId="5" fillId="0" borderId="0" xfId="121" applyFont="1" applyAlignment="1">
      <alignment horizontal="left" vertical="center" wrapText="1"/>
    </xf>
    <xf numFmtId="0" fontId="10" fillId="0" borderId="0" xfId="121" applyFont="1" applyAlignment="1">
      <alignment horizontal="left" vertical="center" wrapText="1"/>
    </xf>
    <xf numFmtId="0" fontId="126" fillId="0" borderId="30" xfId="121" applyFont="1" applyBorder="1" applyAlignment="1">
      <alignment horizontal="center" vertical="center" wrapText="1"/>
    </xf>
    <xf numFmtId="0" fontId="126" fillId="0" borderId="38" xfId="121" applyFont="1" applyBorder="1" applyAlignment="1">
      <alignment horizontal="center" vertical="center" wrapText="1"/>
    </xf>
    <xf numFmtId="0" fontId="126" fillId="0" borderId="39" xfId="121" applyFont="1" applyBorder="1" applyAlignment="1">
      <alignment horizontal="center" vertical="center" wrapText="1"/>
    </xf>
    <xf numFmtId="0" fontId="98" fillId="0" borderId="27" xfId="121" applyFont="1" applyBorder="1" applyAlignment="1">
      <alignment horizontal="center" vertical="center" wrapText="1"/>
    </xf>
    <xf numFmtId="164" fontId="91" fillId="0" borderId="18" xfId="121" applyNumberFormat="1" applyFont="1" applyBorder="1" applyAlignment="1">
      <alignment horizontal="center" vertical="center" wrapText="1"/>
    </xf>
    <xf numFmtId="0" fontId="107" fillId="0" borderId="0" xfId="121" applyFont="1" applyAlignment="1">
      <alignment horizontal="center" wrapText="1"/>
    </xf>
    <xf numFmtId="0" fontId="91" fillId="0" borderId="13" xfId="121" applyFont="1" applyBorder="1" applyAlignment="1">
      <alignment horizontal="center" vertical="center" wrapText="1"/>
    </xf>
    <xf numFmtId="0" fontId="98" fillId="0" borderId="18" xfId="121" applyFont="1" applyBorder="1" applyAlignment="1">
      <alignment horizontal="center" vertical="center" wrapText="1"/>
    </xf>
    <xf numFmtId="0" fontId="91" fillId="0" borderId="30" xfId="121" applyFont="1" applyBorder="1" applyAlignment="1">
      <alignment horizontal="center" vertical="center" wrapText="1"/>
    </xf>
    <xf numFmtId="0" fontId="96" fillId="0" borderId="0" xfId="121" applyFont="1" applyAlignment="1">
      <alignment horizontal="center" vertical="center" wrapText="1"/>
    </xf>
    <xf numFmtId="0" fontId="113" fillId="0" borderId="0" xfId="121" applyFont="1" applyAlignment="1">
      <alignment horizontal="center" wrapText="1"/>
    </xf>
    <xf numFmtId="0" fontId="117" fillId="0" borderId="0" xfId="121" applyFont="1" applyAlignment="1">
      <alignment horizontal="center" vertical="center" wrapText="1"/>
    </xf>
    <xf numFmtId="0" fontId="101" fillId="0" borderId="16" xfId="121" applyFont="1" applyBorder="1" applyAlignment="1">
      <alignment horizontal="center" vertical="center" wrapText="1"/>
    </xf>
    <xf numFmtId="0" fontId="112" fillId="0" borderId="15" xfId="121" applyFont="1" applyBorder="1" applyAlignment="1">
      <alignment vertical="center" wrapText="1"/>
    </xf>
    <xf numFmtId="0" fontId="112" fillId="0" borderId="0" xfId="121" applyFont="1" applyAlignment="1">
      <alignment vertical="center" wrapText="1"/>
    </xf>
    <xf numFmtId="0" fontId="102" fillId="0" borderId="16" xfId="121" applyFont="1" applyBorder="1" applyAlignment="1">
      <alignment vertical="center" wrapText="1"/>
    </xf>
  </cellXfs>
  <cellStyles count="137">
    <cellStyle name="Comma" xfId="122" builtinId="3"/>
    <cellStyle name="Comma [0] 2" xfId="5"/>
    <cellStyle name="Comma 10" xfId="6"/>
    <cellStyle name="Comma 11" xfId="7"/>
    <cellStyle name="Comma 12" xfId="8"/>
    <cellStyle name="Comma 12 2" xfId="9"/>
    <cellStyle name="Comma 13" xfId="10"/>
    <cellStyle name="Comma 13 2" xfId="11"/>
    <cellStyle name="Comma 14" xfId="12"/>
    <cellStyle name="Comma 15" xfId="13"/>
    <cellStyle name="Comma 16" xfId="14"/>
    <cellStyle name="Comma 17" xfId="15"/>
    <cellStyle name="Comma 18" xfId="16"/>
    <cellStyle name="Comma 19" xfId="17"/>
    <cellStyle name="Comma 2" xfId="4"/>
    <cellStyle name="Comma 2 2" xfId="18"/>
    <cellStyle name="Comma 2 2 2" xfId="19"/>
    <cellStyle name="Comma 2 3" xfId="20"/>
    <cellStyle name="Comma 2 4" xfId="21"/>
    <cellStyle name="Comma 2 5" xfId="22"/>
    <cellStyle name="Comma 20" xfId="23"/>
    <cellStyle name="Comma 21" xfId="24"/>
    <cellStyle name="Comma 22" xfId="25"/>
    <cellStyle name="Comma 23" xfId="26"/>
    <cellStyle name="Comma 24" xfId="27"/>
    <cellStyle name="Comma 25" xfId="28"/>
    <cellStyle name="Comma 26" xfId="29"/>
    <cellStyle name="Comma 27" xfId="129"/>
    <cellStyle name="Comma 28" xfId="132"/>
    <cellStyle name="Comma 29" xfId="136"/>
    <cellStyle name="Comma 3" xfId="30"/>
    <cellStyle name="Comma 3 2" xfId="31"/>
    <cellStyle name="Comma 3 3" xfId="32"/>
    <cellStyle name="Comma 4" xfId="33"/>
    <cellStyle name="Comma 5" xfId="34"/>
    <cellStyle name="Comma 5 2" xfId="35"/>
    <cellStyle name="Comma 5 3" xfId="36"/>
    <cellStyle name="Comma 5 3 2" xfId="37"/>
    <cellStyle name="Comma 5 4" xfId="38"/>
    <cellStyle name="Comma 5 4 2" xfId="39"/>
    <cellStyle name="Comma 6" xfId="40"/>
    <cellStyle name="Comma 6 2" xfId="41"/>
    <cellStyle name="Comma 6 3" xfId="42"/>
    <cellStyle name="Comma 7" xfId="43"/>
    <cellStyle name="Comma 8" xfId="44"/>
    <cellStyle name="Comma 8 2" xfId="45"/>
    <cellStyle name="Comma 9" xfId="46"/>
    <cellStyle name="Comma 9 2" xfId="47"/>
    <cellStyle name="Normal" xfId="0" builtinId="0"/>
    <cellStyle name="Normal 10" xfId="48"/>
    <cellStyle name="Normal 10 2" xfId="49"/>
    <cellStyle name="Normal 11" xfId="50"/>
    <cellStyle name="Normal 11 2" xfId="51"/>
    <cellStyle name="Normal 12" xfId="52"/>
    <cellStyle name="Normal 13" xfId="53"/>
    <cellStyle name="Normal 13 2" xfId="54"/>
    <cellStyle name="Normal 14" xfId="55"/>
    <cellStyle name="Normal 15" xfId="56"/>
    <cellStyle name="Normal 15 2" xfId="57"/>
    <cellStyle name="Normal 16" xfId="58"/>
    <cellStyle name="Normal 17" xfId="59"/>
    <cellStyle name="Normal 18" xfId="60"/>
    <cellStyle name="Normal 19" xfId="61"/>
    <cellStyle name="Normal 2" xfId="1"/>
    <cellStyle name="Normal 2 2" xfId="2"/>
    <cellStyle name="Normal 2 2 2" xfId="62"/>
    <cellStyle name="Normal 2 2 2 2" xfId="63"/>
    <cellStyle name="Normal 2 2 3" xfId="64"/>
    <cellStyle name="Normal 2 2 4" xfId="65"/>
    <cellStyle name="Normal 2 2 5" xfId="131"/>
    <cellStyle name="Normal 2 2_KTPS COD 1.11.2012" xfId="66"/>
    <cellStyle name="Normal 2 3" xfId="67"/>
    <cellStyle name="Normal 2 4" xfId="68"/>
    <cellStyle name="Normal 2 5" xfId="69"/>
    <cellStyle name="Normal 2 5 2" xfId="70"/>
    <cellStyle name="Normal 2 6" xfId="71"/>
    <cellStyle name="Normal 2 7" xfId="72"/>
    <cellStyle name="Normal 2 8" xfId="127"/>
    <cellStyle name="Normal 2 9" xfId="133"/>
    <cellStyle name="Normal 2_IDC( Notional)" xfId="73"/>
    <cellStyle name="Normal 20" xfId="74"/>
    <cellStyle name="Normal 21" xfId="75"/>
    <cellStyle name="Normal 22" xfId="121"/>
    <cellStyle name="Normal 23" xfId="123"/>
    <cellStyle name="Normal 24" xfId="125"/>
    <cellStyle name="Normal 25" xfId="126"/>
    <cellStyle name="Normal 26" xfId="128"/>
    <cellStyle name="Normal 27" xfId="134"/>
    <cellStyle name="Normal 28" xfId="135"/>
    <cellStyle name="Normal 3" xfId="76"/>
    <cellStyle name="Normal 3 2" xfId="77"/>
    <cellStyle name="Normal 3 3" xfId="78"/>
    <cellStyle name="Normal 3 4" xfId="79"/>
    <cellStyle name="Normal 3 5" xfId="80"/>
    <cellStyle name="Normal 3 6" xfId="81"/>
    <cellStyle name="Normal 3 6 2" xfId="82"/>
    <cellStyle name="Normal 3 6 3" xfId="83"/>
    <cellStyle name="Normal 3 7" xfId="84"/>
    <cellStyle name="Normal 3 8" xfId="85"/>
    <cellStyle name="Normal 3 9" xfId="130"/>
    <cellStyle name="Normal 3_Reconciliation of Cash&amp; Expdated 09.02.2012.xls" xfId="86"/>
    <cellStyle name="Normal 4" xfId="87"/>
    <cellStyle name="Normal 4 2" xfId="88"/>
    <cellStyle name="Normal 4 3" xfId="89"/>
    <cellStyle name="Normal 5" xfId="90"/>
    <cellStyle name="Normal 5 2" xfId="91"/>
    <cellStyle name="Normal 6" xfId="92"/>
    <cellStyle name="Normal 6 2" xfId="93"/>
    <cellStyle name="Normal 6 3" xfId="94"/>
    <cellStyle name="Normal 6 4" xfId="95"/>
    <cellStyle name="Normal 6 4 2" xfId="96"/>
    <cellStyle name="Normal 7" xfId="97"/>
    <cellStyle name="Normal 7 2" xfId="98"/>
    <cellStyle name="Normal 7 3" xfId="99"/>
    <cellStyle name="Normal 7 3 2" xfId="100"/>
    <cellStyle name="Normal 7 3 2 2" xfId="101"/>
    <cellStyle name="Normal 7 4" xfId="102"/>
    <cellStyle name="Normal 7 4 2" xfId="103"/>
    <cellStyle name="Normal 8" xfId="104"/>
    <cellStyle name="Normal 8 2" xfId="105"/>
    <cellStyle name="Normal 8 2 2" xfId="106"/>
    <cellStyle name="Normal 8 2 2 2" xfId="107"/>
    <cellStyle name="Normal 9" xfId="108"/>
    <cellStyle name="Normal 9 2" xfId="109"/>
    <cellStyle name="Percent" xfId="124" builtinId="5"/>
    <cellStyle name="Percent 2" xfId="3"/>
    <cellStyle name="Percent 2 2" xfId="110"/>
    <cellStyle name="Percent 2 2 2" xfId="111"/>
    <cellStyle name="Percent 2 3" xfId="112"/>
    <cellStyle name="Percent 3" xfId="113"/>
    <cellStyle name="Percent 4" xfId="114"/>
    <cellStyle name="Percent 5" xfId="115"/>
    <cellStyle name="Percent 5 2" xfId="116"/>
    <cellStyle name="Percent 5 3" xfId="117"/>
    <cellStyle name="Percent 5 3 2" xfId="118"/>
    <cellStyle name="Percent 6" xfId="119"/>
    <cellStyle name="Percent 7" xfId="120"/>
  </cellStyles>
  <dxfs count="0"/>
  <tableStyles count="0" defaultTableStyle="TableStyleMedium9" defaultPivotStyle="PivotStyleLight16"/>
  <colors>
    <mruColors>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4.xml"/><Relationship Id="rId50"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2.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5.xml"/><Relationship Id="rId8" Type="http://schemas.openxmlformats.org/officeDocument/2006/relationships/worksheet" Target="worksheets/sheet8.xml"/><Relationship Id="rId51"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2</xdr:col>
      <xdr:colOff>16260</xdr:colOff>
      <xdr:row>9</xdr:row>
      <xdr:rowOff>0</xdr:rowOff>
    </xdr:from>
    <xdr:to>
      <xdr:col>4</xdr:col>
      <xdr:colOff>664595</xdr:colOff>
      <xdr:row>9</xdr:row>
      <xdr:rowOff>0</xdr:rowOff>
    </xdr:to>
    <xdr:sp macro="" textlink="">
      <xdr:nvSpPr>
        <xdr:cNvPr id="5" name="Shape 5">
          <a:extLst>
            <a:ext uri="{FF2B5EF4-FFF2-40B4-BE49-F238E27FC236}">
              <a16:creationId xmlns:a16="http://schemas.microsoft.com/office/drawing/2014/main" xmlns="" id="{00000000-0008-0000-0600-000005000000}"/>
            </a:ext>
          </a:extLst>
        </xdr:cNvPr>
        <xdr:cNvSpPr/>
      </xdr:nvSpPr>
      <xdr:spPr>
        <a:xfrm>
          <a:off x="0" y="0"/>
          <a:ext cx="2374265" cy="0"/>
        </a:xfrm>
        <a:custGeom>
          <a:avLst/>
          <a:gdLst/>
          <a:ahLst/>
          <a:cxnLst/>
          <a:rect l="0" t="0" r="0" b="0"/>
          <a:pathLst>
            <a:path w="2374265">
              <a:moveTo>
                <a:pt x="0" y="0"/>
              </a:moveTo>
              <a:lnTo>
                <a:pt x="2373731" y="0"/>
              </a:lnTo>
            </a:path>
          </a:pathLst>
        </a:custGeom>
        <a:ln w="7104">
          <a:solidFill>
            <a:srgbClr val="000000"/>
          </a:solidFill>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26</xdr:row>
      <xdr:rowOff>28575</xdr:rowOff>
    </xdr:from>
    <xdr:to>
      <xdr:col>0</xdr:col>
      <xdr:colOff>466725</xdr:colOff>
      <xdr:row>26</xdr:row>
      <xdr:rowOff>38100</xdr:rowOff>
    </xdr:to>
    <xdr:sp macro="" textlink="">
      <xdr:nvSpPr>
        <xdr:cNvPr id="1262" name="Rectangle 238">
          <a:extLst>
            <a:ext uri="{FF2B5EF4-FFF2-40B4-BE49-F238E27FC236}">
              <a16:creationId xmlns:a16="http://schemas.microsoft.com/office/drawing/2014/main" xmlns="" id="{00000000-0008-0000-1800-0000EE040000}"/>
            </a:ext>
          </a:extLst>
        </xdr:cNvPr>
        <xdr:cNvSpPr>
          <a:spLocks noChangeArrowheads="1"/>
        </xdr:cNvSpPr>
      </xdr:nvSpPr>
      <xdr:spPr bwMode="auto">
        <a:xfrm>
          <a:off x="457200" y="5019675"/>
          <a:ext cx="9525" cy="9525"/>
        </a:xfrm>
        <a:prstGeom prst="rect">
          <a:avLst/>
        </a:prstGeom>
        <a:solidFill>
          <a:srgbClr val="000000"/>
        </a:solidFill>
        <a:ln w="9525">
          <a:solidFill>
            <a:srgbClr val="FFFFFF"/>
          </a:solidFill>
          <a:miter lim="800000"/>
          <a:headEnd/>
          <a:tailEnd/>
        </a:ln>
      </xdr:spPr>
    </xdr:sp>
    <xdr:clientData/>
  </xdr:twoCellAnchor>
  <xdr:twoCellAnchor>
    <xdr:from>
      <xdr:col>0</xdr:col>
      <xdr:colOff>457200</xdr:colOff>
      <xdr:row>31</xdr:row>
      <xdr:rowOff>38100</xdr:rowOff>
    </xdr:from>
    <xdr:to>
      <xdr:col>0</xdr:col>
      <xdr:colOff>466725</xdr:colOff>
      <xdr:row>31</xdr:row>
      <xdr:rowOff>47625</xdr:rowOff>
    </xdr:to>
    <xdr:sp macro="" textlink="">
      <xdr:nvSpPr>
        <xdr:cNvPr id="1268" name="Rectangle 244">
          <a:extLst>
            <a:ext uri="{FF2B5EF4-FFF2-40B4-BE49-F238E27FC236}">
              <a16:creationId xmlns:a16="http://schemas.microsoft.com/office/drawing/2014/main" xmlns="" id="{00000000-0008-0000-1800-0000F4040000}"/>
            </a:ext>
          </a:extLst>
        </xdr:cNvPr>
        <xdr:cNvSpPr>
          <a:spLocks noChangeArrowheads="1"/>
        </xdr:cNvSpPr>
      </xdr:nvSpPr>
      <xdr:spPr bwMode="auto">
        <a:xfrm>
          <a:off x="457200" y="6400800"/>
          <a:ext cx="9525" cy="9525"/>
        </a:xfrm>
        <a:prstGeom prst="rect">
          <a:avLst/>
        </a:prstGeom>
        <a:solidFill>
          <a:srgbClr val="000000"/>
        </a:solidFill>
        <a:ln w="9525">
          <a:solidFill>
            <a:srgbClr val="FFFFFF"/>
          </a:solidFill>
          <a:miter lim="800000"/>
          <a:headEnd/>
          <a:tailEnd/>
        </a:ln>
      </xdr:spPr>
    </xdr:sp>
    <xdr:clientData/>
  </xdr:twoCellAnchor>
  <xdr:twoCellAnchor>
    <xdr:from>
      <xdr:col>0</xdr:col>
      <xdr:colOff>457200</xdr:colOff>
      <xdr:row>63</xdr:row>
      <xdr:rowOff>28575</xdr:rowOff>
    </xdr:from>
    <xdr:to>
      <xdr:col>0</xdr:col>
      <xdr:colOff>466725</xdr:colOff>
      <xdr:row>63</xdr:row>
      <xdr:rowOff>38100</xdr:rowOff>
    </xdr:to>
    <xdr:sp macro="" textlink="">
      <xdr:nvSpPr>
        <xdr:cNvPr id="1277" name="Rectangle 253">
          <a:extLst>
            <a:ext uri="{FF2B5EF4-FFF2-40B4-BE49-F238E27FC236}">
              <a16:creationId xmlns:a16="http://schemas.microsoft.com/office/drawing/2014/main" xmlns="" id="{00000000-0008-0000-1800-0000FD040000}"/>
            </a:ext>
          </a:extLst>
        </xdr:cNvPr>
        <xdr:cNvSpPr>
          <a:spLocks noChangeArrowheads="1"/>
        </xdr:cNvSpPr>
      </xdr:nvSpPr>
      <xdr:spPr bwMode="auto">
        <a:xfrm>
          <a:off x="457200" y="12801600"/>
          <a:ext cx="9525" cy="9525"/>
        </a:xfrm>
        <a:prstGeom prst="rect">
          <a:avLst/>
        </a:prstGeom>
        <a:solidFill>
          <a:srgbClr val="000000"/>
        </a:solidFill>
        <a:ln w="9525">
          <a:solidFill>
            <a:srgbClr val="FFFFFF"/>
          </a:solidFill>
          <a:miter lim="800000"/>
          <a:headEnd/>
          <a:tailEnd/>
        </a:ln>
      </xdr:spPr>
    </xdr:sp>
    <xdr:clientData/>
  </xdr:twoCellAnchor>
  <xdr:twoCellAnchor>
    <xdr:from>
      <xdr:col>0</xdr:col>
      <xdr:colOff>466725</xdr:colOff>
      <xdr:row>63</xdr:row>
      <xdr:rowOff>28575</xdr:rowOff>
    </xdr:from>
    <xdr:to>
      <xdr:col>4</xdr:col>
      <xdr:colOff>352425</xdr:colOff>
      <xdr:row>63</xdr:row>
      <xdr:rowOff>28575</xdr:rowOff>
    </xdr:to>
    <xdr:sp macro="" textlink="">
      <xdr:nvSpPr>
        <xdr:cNvPr id="1276" name="Line 252">
          <a:extLst>
            <a:ext uri="{FF2B5EF4-FFF2-40B4-BE49-F238E27FC236}">
              <a16:creationId xmlns:a16="http://schemas.microsoft.com/office/drawing/2014/main" xmlns="" id="{00000000-0008-0000-1800-0000FC040000}"/>
            </a:ext>
          </a:extLst>
        </xdr:cNvPr>
        <xdr:cNvSpPr>
          <a:spLocks noChangeShapeType="1"/>
        </xdr:cNvSpPr>
      </xdr:nvSpPr>
      <xdr:spPr bwMode="auto">
        <a:xfrm>
          <a:off x="466725" y="12801600"/>
          <a:ext cx="2971800" cy="0"/>
        </a:xfrm>
        <a:prstGeom prst="line">
          <a:avLst/>
        </a:prstGeom>
        <a:noFill/>
        <a:ln w="4572">
          <a:solidFill>
            <a:srgbClr val="000000"/>
          </a:solidFill>
          <a:round/>
          <a:headEnd/>
          <a:tailEnd/>
        </a:ln>
      </xdr:spPr>
    </xdr:sp>
    <xdr:clientData/>
  </xdr:twoCellAnchor>
  <xdr:twoCellAnchor>
    <xdr:from>
      <xdr:col>0</xdr:col>
      <xdr:colOff>466725</xdr:colOff>
      <xdr:row>63</xdr:row>
      <xdr:rowOff>38100</xdr:rowOff>
    </xdr:from>
    <xdr:to>
      <xdr:col>0</xdr:col>
      <xdr:colOff>466725</xdr:colOff>
      <xdr:row>64</xdr:row>
      <xdr:rowOff>76200</xdr:rowOff>
    </xdr:to>
    <xdr:sp macro="" textlink="">
      <xdr:nvSpPr>
        <xdr:cNvPr id="1275" name="Line 251">
          <a:extLst>
            <a:ext uri="{FF2B5EF4-FFF2-40B4-BE49-F238E27FC236}">
              <a16:creationId xmlns:a16="http://schemas.microsoft.com/office/drawing/2014/main" xmlns="" id="{00000000-0008-0000-1800-0000FB040000}"/>
            </a:ext>
          </a:extLst>
        </xdr:cNvPr>
        <xdr:cNvSpPr>
          <a:spLocks noChangeShapeType="1"/>
        </xdr:cNvSpPr>
      </xdr:nvSpPr>
      <xdr:spPr bwMode="auto">
        <a:xfrm>
          <a:off x="466725" y="12811125"/>
          <a:ext cx="0" cy="200025"/>
        </a:xfrm>
        <a:prstGeom prst="line">
          <a:avLst/>
        </a:prstGeom>
        <a:noFill/>
        <a:ln w="4572">
          <a:solidFill>
            <a:srgbClr val="000000"/>
          </a:solidFill>
          <a:round/>
          <a:headEnd/>
          <a:tailEnd/>
        </a:ln>
      </xdr:spPr>
    </xdr:sp>
    <xdr:clientData/>
  </xdr:twoCellAnchor>
  <xdr:twoCellAnchor>
    <xdr:from>
      <xdr:col>0</xdr:col>
      <xdr:colOff>457200</xdr:colOff>
      <xdr:row>64</xdr:row>
      <xdr:rowOff>28575</xdr:rowOff>
    </xdr:from>
    <xdr:to>
      <xdr:col>0</xdr:col>
      <xdr:colOff>466725</xdr:colOff>
      <xdr:row>64</xdr:row>
      <xdr:rowOff>38100</xdr:rowOff>
    </xdr:to>
    <xdr:sp macro="" textlink="">
      <xdr:nvSpPr>
        <xdr:cNvPr id="1280" name="Rectangle 256">
          <a:extLst>
            <a:ext uri="{FF2B5EF4-FFF2-40B4-BE49-F238E27FC236}">
              <a16:creationId xmlns:a16="http://schemas.microsoft.com/office/drawing/2014/main" xmlns="" id="{00000000-0008-0000-1800-000000050000}"/>
            </a:ext>
          </a:extLst>
        </xdr:cNvPr>
        <xdr:cNvSpPr>
          <a:spLocks noChangeArrowheads="1"/>
        </xdr:cNvSpPr>
      </xdr:nvSpPr>
      <xdr:spPr bwMode="auto">
        <a:xfrm>
          <a:off x="457200" y="12982575"/>
          <a:ext cx="9525" cy="9525"/>
        </a:xfrm>
        <a:prstGeom prst="rect">
          <a:avLst/>
        </a:prstGeom>
        <a:solidFill>
          <a:srgbClr val="000000"/>
        </a:solidFill>
        <a:ln w="9525">
          <a:solidFill>
            <a:srgbClr val="FFFFFF"/>
          </a:solidFill>
          <a:miter lim="800000"/>
          <a:headEnd/>
          <a:tailEnd/>
        </a:ln>
      </xdr:spPr>
    </xdr:sp>
    <xdr:clientData/>
  </xdr:twoCellAnchor>
  <xdr:twoCellAnchor>
    <xdr:from>
      <xdr:col>0</xdr:col>
      <xdr:colOff>466725</xdr:colOff>
      <xdr:row>64</xdr:row>
      <xdr:rowOff>28575</xdr:rowOff>
    </xdr:from>
    <xdr:to>
      <xdr:col>4</xdr:col>
      <xdr:colOff>352425</xdr:colOff>
      <xdr:row>64</xdr:row>
      <xdr:rowOff>28575</xdr:rowOff>
    </xdr:to>
    <xdr:sp macro="" textlink="">
      <xdr:nvSpPr>
        <xdr:cNvPr id="1279" name="Line 255">
          <a:extLst>
            <a:ext uri="{FF2B5EF4-FFF2-40B4-BE49-F238E27FC236}">
              <a16:creationId xmlns:a16="http://schemas.microsoft.com/office/drawing/2014/main" xmlns="" id="{00000000-0008-0000-1800-0000FF040000}"/>
            </a:ext>
          </a:extLst>
        </xdr:cNvPr>
        <xdr:cNvSpPr>
          <a:spLocks noChangeShapeType="1"/>
        </xdr:cNvSpPr>
      </xdr:nvSpPr>
      <xdr:spPr bwMode="auto">
        <a:xfrm>
          <a:off x="466725" y="12982575"/>
          <a:ext cx="2971800" cy="0"/>
        </a:xfrm>
        <a:prstGeom prst="line">
          <a:avLst/>
        </a:prstGeom>
        <a:noFill/>
        <a:ln w="4572">
          <a:solidFill>
            <a:srgbClr val="000000"/>
          </a:solidFill>
          <a:round/>
          <a:headEnd/>
          <a:tailEnd/>
        </a:ln>
      </xdr:spPr>
    </xdr:sp>
    <xdr:clientData/>
  </xdr:twoCellAnchor>
  <xdr:twoCellAnchor>
    <xdr:from>
      <xdr:col>0</xdr:col>
      <xdr:colOff>466725</xdr:colOff>
      <xdr:row>64</xdr:row>
      <xdr:rowOff>38100</xdr:rowOff>
    </xdr:from>
    <xdr:to>
      <xdr:col>0</xdr:col>
      <xdr:colOff>466725</xdr:colOff>
      <xdr:row>65</xdr:row>
      <xdr:rowOff>76200</xdr:rowOff>
    </xdr:to>
    <xdr:sp macro="" textlink="">
      <xdr:nvSpPr>
        <xdr:cNvPr id="1278" name="Line 254">
          <a:extLst>
            <a:ext uri="{FF2B5EF4-FFF2-40B4-BE49-F238E27FC236}">
              <a16:creationId xmlns:a16="http://schemas.microsoft.com/office/drawing/2014/main" xmlns="" id="{00000000-0008-0000-1800-0000FE040000}"/>
            </a:ext>
          </a:extLst>
        </xdr:cNvPr>
        <xdr:cNvSpPr>
          <a:spLocks noChangeShapeType="1"/>
        </xdr:cNvSpPr>
      </xdr:nvSpPr>
      <xdr:spPr bwMode="auto">
        <a:xfrm>
          <a:off x="466725" y="12992100"/>
          <a:ext cx="0" cy="200025"/>
        </a:xfrm>
        <a:prstGeom prst="line">
          <a:avLst/>
        </a:prstGeom>
        <a:noFill/>
        <a:ln w="4572">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4</xdr:row>
      <xdr:rowOff>3936</xdr:rowOff>
    </xdr:from>
    <xdr:ext cx="1989455" cy="0"/>
    <xdr:sp macro="" textlink="">
      <xdr:nvSpPr>
        <xdr:cNvPr id="10" name="Shape 10">
          <a:extLst>
            <a:ext uri="{FF2B5EF4-FFF2-40B4-BE49-F238E27FC236}">
              <a16:creationId xmlns:a16="http://schemas.microsoft.com/office/drawing/2014/main" xmlns="" id="{00000000-0008-0000-0C00-00000A000000}"/>
            </a:ext>
          </a:extLst>
        </xdr:cNvPr>
        <xdr:cNvSpPr/>
      </xdr:nvSpPr>
      <xdr:spPr>
        <a:xfrm>
          <a:off x="0" y="0"/>
          <a:ext cx="1989455" cy="0"/>
        </a:xfrm>
        <a:custGeom>
          <a:avLst/>
          <a:gdLst/>
          <a:ahLst/>
          <a:cxnLst/>
          <a:rect l="0" t="0" r="0" b="0"/>
          <a:pathLst>
            <a:path w="1989455">
              <a:moveTo>
                <a:pt x="0" y="0"/>
              </a:moveTo>
              <a:lnTo>
                <a:pt x="1989253" y="0"/>
              </a:lnTo>
            </a:path>
          </a:pathLst>
        </a:custGeom>
        <a:ln w="7872">
          <a:solidFill>
            <a:srgbClr val="000000"/>
          </a:solidFill>
        </a:ln>
      </xdr:spPr>
    </xdr:sp>
    <xdr:clientData/>
  </xdr:oneCellAnchor>
  <xdr:oneCellAnchor>
    <xdr:from>
      <xdr:col>0</xdr:col>
      <xdr:colOff>0</xdr:colOff>
      <xdr:row>5</xdr:row>
      <xdr:rowOff>3936</xdr:rowOff>
    </xdr:from>
    <xdr:ext cx="1989455" cy="0"/>
    <xdr:sp macro="" textlink="">
      <xdr:nvSpPr>
        <xdr:cNvPr id="11" name="Shape 11">
          <a:extLst>
            <a:ext uri="{FF2B5EF4-FFF2-40B4-BE49-F238E27FC236}">
              <a16:creationId xmlns:a16="http://schemas.microsoft.com/office/drawing/2014/main" xmlns="" id="{00000000-0008-0000-0C00-00000B000000}"/>
            </a:ext>
          </a:extLst>
        </xdr:cNvPr>
        <xdr:cNvSpPr/>
      </xdr:nvSpPr>
      <xdr:spPr>
        <a:xfrm>
          <a:off x="0" y="0"/>
          <a:ext cx="1989455" cy="0"/>
        </a:xfrm>
        <a:custGeom>
          <a:avLst/>
          <a:gdLst/>
          <a:ahLst/>
          <a:cxnLst/>
          <a:rect l="0" t="0" r="0" b="0"/>
          <a:pathLst>
            <a:path w="1989455">
              <a:moveTo>
                <a:pt x="0" y="0"/>
              </a:moveTo>
              <a:lnTo>
                <a:pt x="1989253" y="0"/>
              </a:lnTo>
            </a:path>
          </a:pathLst>
        </a:custGeom>
        <a:ln w="7872">
          <a:solidFill>
            <a:srgbClr val="000000"/>
          </a:solidFill>
        </a:ln>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3</xdr:col>
      <xdr:colOff>8248</xdr:colOff>
      <xdr:row>0</xdr:row>
      <xdr:rowOff>433219</xdr:rowOff>
    </xdr:from>
    <xdr:to>
      <xdr:col>6</xdr:col>
      <xdr:colOff>260343</xdr:colOff>
      <xdr:row>0</xdr:row>
      <xdr:rowOff>433219</xdr:rowOff>
    </xdr:to>
    <xdr:sp macro="" textlink="">
      <xdr:nvSpPr>
        <xdr:cNvPr id="6" name="Shape 6">
          <a:extLst>
            <a:ext uri="{FF2B5EF4-FFF2-40B4-BE49-F238E27FC236}">
              <a16:creationId xmlns:a16="http://schemas.microsoft.com/office/drawing/2014/main" xmlns="" id="{00000000-0008-0000-0900-000006000000}"/>
            </a:ext>
          </a:extLst>
        </xdr:cNvPr>
        <xdr:cNvSpPr/>
      </xdr:nvSpPr>
      <xdr:spPr>
        <a:xfrm>
          <a:off x="0" y="0"/>
          <a:ext cx="1486535" cy="0"/>
        </a:xfrm>
        <a:custGeom>
          <a:avLst/>
          <a:gdLst/>
          <a:ahLst/>
          <a:cxnLst/>
          <a:rect l="0" t="0" r="0" b="0"/>
          <a:pathLst>
            <a:path w="1486535">
              <a:moveTo>
                <a:pt x="0" y="0"/>
              </a:moveTo>
              <a:lnTo>
                <a:pt x="1486232" y="0"/>
              </a:lnTo>
            </a:path>
          </a:pathLst>
        </a:custGeom>
        <a:ln w="4416">
          <a:solidFill>
            <a:srgbClr val="000000"/>
          </a:solidFill>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9789</xdr:colOff>
      <xdr:row>0</xdr:row>
      <xdr:rowOff>480576</xdr:rowOff>
    </xdr:from>
    <xdr:to>
      <xdr:col>5</xdr:col>
      <xdr:colOff>284744</xdr:colOff>
      <xdr:row>0</xdr:row>
      <xdr:rowOff>480576</xdr:rowOff>
    </xdr:to>
    <xdr:sp macro="" textlink="">
      <xdr:nvSpPr>
        <xdr:cNvPr id="7" name="Shape 7">
          <a:extLst>
            <a:ext uri="{FF2B5EF4-FFF2-40B4-BE49-F238E27FC236}">
              <a16:creationId xmlns:a16="http://schemas.microsoft.com/office/drawing/2014/main" xmlns="" id="{00000000-0008-0000-0A00-000007000000}"/>
            </a:ext>
          </a:extLst>
        </xdr:cNvPr>
        <xdr:cNvSpPr/>
      </xdr:nvSpPr>
      <xdr:spPr>
        <a:xfrm>
          <a:off x="0" y="0"/>
          <a:ext cx="1664970" cy="0"/>
        </a:xfrm>
        <a:custGeom>
          <a:avLst/>
          <a:gdLst/>
          <a:ahLst/>
          <a:cxnLst/>
          <a:rect l="0" t="0" r="0" b="0"/>
          <a:pathLst>
            <a:path w="1664970">
              <a:moveTo>
                <a:pt x="0" y="0"/>
              </a:moveTo>
              <a:lnTo>
                <a:pt x="1664451" y="0"/>
              </a:lnTo>
            </a:path>
          </a:pathLst>
        </a:custGeom>
        <a:ln w="4896">
          <a:solidFill>
            <a:srgbClr val="000000"/>
          </a:solidFill>
        </a:ln>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11421</xdr:colOff>
      <xdr:row>0</xdr:row>
      <xdr:rowOff>382278</xdr:rowOff>
    </xdr:from>
    <xdr:to>
      <xdr:col>8</xdr:col>
      <xdr:colOff>461001</xdr:colOff>
      <xdr:row>0</xdr:row>
      <xdr:rowOff>382278</xdr:rowOff>
    </xdr:to>
    <xdr:sp macro="" textlink="">
      <xdr:nvSpPr>
        <xdr:cNvPr id="8" name="Shape 8">
          <a:extLst>
            <a:ext uri="{FF2B5EF4-FFF2-40B4-BE49-F238E27FC236}">
              <a16:creationId xmlns:a16="http://schemas.microsoft.com/office/drawing/2014/main" xmlns="" id="{00000000-0008-0000-0B00-000008000000}"/>
            </a:ext>
          </a:extLst>
        </xdr:cNvPr>
        <xdr:cNvSpPr/>
      </xdr:nvSpPr>
      <xdr:spPr>
        <a:xfrm>
          <a:off x="0" y="0"/>
          <a:ext cx="1664970" cy="0"/>
        </a:xfrm>
        <a:custGeom>
          <a:avLst/>
          <a:gdLst/>
          <a:ahLst/>
          <a:cxnLst/>
          <a:rect l="0" t="0" r="0" b="0"/>
          <a:pathLst>
            <a:path w="1664970">
              <a:moveTo>
                <a:pt x="0" y="0"/>
              </a:moveTo>
              <a:lnTo>
                <a:pt x="1664451" y="0"/>
              </a:lnTo>
            </a:path>
          </a:pathLst>
        </a:custGeom>
        <a:ln w="4896">
          <a:solidFill>
            <a:srgbClr val="000000"/>
          </a:solidFill>
        </a:ln>
      </xdr:spPr>
    </xdr:sp>
    <xdr:clientData/>
  </xdr:twoCellAnchor>
  <xdr:twoCellAnchor editAs="oneCell">
    <xdr:from>
      <xdr:col>5</xdr:col>
      <xdr:colOff>11421</xdr:colOff>
      <xdr:row>0</xdr:row>
      <xdr:rowOff>578873</xdr:rowOff>
    </xdr:from>
    <xdr:to>
      <xdr:col>8</xdr:col>
      <xdr:colOff>461001</xdr:colOff>
      <xdr:row>0</xdr:row>
      <xdr:rowOff>578873</xdr:rowOff>
    </xdr:to>
    <xdr:sp macro="" textlink="">
      <xdr:nvSpPr>
        <xdr:cNvPr id="9" name="Shape 9">
          <a:extLst>
            <a:ext uri="{FF2B5EF4-FFF2-40B4-BE49-F238E27FC236}">
              <a16:creationId xmlns:a16="http://schemas.microsoft.com/office/drawing/2014/main" xmlns="" id="{00000000-0008-0000-0B00-000009000000}"/>
            </a:ext>
          </a:extLst>
        </xdr:cNvPr>
        <xdr:cNvSpPr/>
      </xdr:nvSpPr>
      <xdr:spPr>
        <a:xfrm>
          <a:off x="0" y="0"/>
          <a:ext cx="1664970" cy="0"/>
        </a:xfrm>
        <a:custGeom>
          <a:avLst/>
          <a:gdLst/>
          <a:ahLst/>
          <a:cxnLst/>
          <a:rect l="0" t="0" r="0" b="0"/>
          <a:pathLst>
            <a:path w="1664970">
              <a:moveTo>
                <a:pt x="0" y="0"/>
              </a:moveTo>
              <a:lnTo>
                <a:pt x="1664451" y="0"/>
              </a:lnTo>
            </a:path>
          </a:pathLst>
        </a:custGeom>
        <a:ln w="4896">
          <a:solidFill>
            <a:srgbClr val="000000"/>
          </a:solidFill>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xdr:row>
      <xdr:rowOff>3552</xdr:rowOff>
    </xdr:from>
    <xdr:to>
      <xdr:col>6</xdr:col>
      <xdr:colOff>108584</xdr:colOff>
      <xdr:row>4</xdr:row>
      <xdr:rowOff>3552</xdr:rowOff>
    </xdr:to>
    <xdr:sp macro="" textlink="">
      <xdr:nvSpPr>
        <xdr:cNvPr id="12" name="Shape 12">
          <a:extLst>
            <a:ext uri="{FF2B5EF4-FFF2-40B4-BE49-F238E27FC236}">
              <a16:creationId xmlns:a16="http://schemas.microsoft.com/office/drawing/2014/main" xmlns="" id="{00000000-0008-0000-0D00-00000C000000}"/>
            </a:ext>
          </a:extLst>
        </xdr:cNvPr>
        <xdr:cNvSpPr/>
      </xdr:nvSpPr>
      <xdr:spPr>
        <a:xfrm>
          <a:off x="0" y="0"/>
          <a:ext cx="1852295" cy="0"/>
        </a:xfrm>
        <a:custGeom>
          <a:avLst/>
          <a:gdLst/>
          <a:ahLst/>
          <a:cxnLst/>
          <a:rect l="0" t="0" r="0" b="0"/>
          <a:pathLst>
            <a:path w="1852295">
              <a:moveTo>
                <a:pt x="0" y="0"/>
              </a:moveTo>
              <a:lnTo>
                <a:pt x="1852007" y="0"/>
              </a:lnTo>
            </a:path>
          </a:pathLst>
        </a:custGeom>
        <a:ln w="7104">
          <a:solidFill>
            <a:srgbClr val="000000"/>
          </a:solidFill>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Singareni/INternal%20worksheets/From%20salman/NTPC%20Impairment%20Model%202014-19%20-%20v6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rojects\Singareni\INternal%20worksheets\From%20salman\NTPC%20Impairment%20Model%202014-19%20-%20v6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Singareni/Financial%20Model/copy%20pasted%20valu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Projects\Singareni\Financial%20Model\copy%20pasted%20valu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KPMG.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esktop%2006-12-2018\VYSHNAVI\truing%20up\True%20up%20forms%202019-%20vyshu%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Pen%20Drive\Commercial\RTPS\BPK%20Final%20RTPS%20Tariff%20Petn%2030.09.2015%20(COD%20on%20%2031.12.15)-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iming"/>
      <sheetName val="CERC Guidelines 2014-19"/>
      <sheetName val="Allocation of shared assets"/>
      <sheetName val="Summary"/>
      <sheetName val="Inputs"/>
      <sheetName val="Korba"/>
      <sheetName val="Singrauli"/>
      <sheetName val="Rihand"/>
      <sheetName val="Unchahar"/>
      <sheetName val="Tanda"/>
      <sheetName val="Badarpur"/>
      <sheetName val="NCTPP"/>
      <sheetName val="Auriya"/>
      <sheetName val="Anta"/>
      <sheetName val="Dadri"/>
      <sheetName val="Faridabad"/>
      <sheetName val="Vindhyachal-1"/>
      <sheetName val="Sipat"/>
      <sheetName val="Kawas"/>
      <sheetName val="Gandhar"/>
      <sheetName val="Farakha"/>
      <sheetName val="Kahalgaon"/>
      <sheetName val="Talcher-K"/>
      <sheetName val="TTPS"/>
      <sheetName val="Ramagundam"/>
      <sheetName val="Kayamkulam"/>
      <sheetName val="Simadri"/>
      <sheetName val="Mauda"/>
    </sheetNames>
    <sheetDataSet>
      <sheetData sheetId="0"/>
      <sheetData sheetId="1"/>
      <sheetData sheetId="2"/>
      <sheetData sheetId="3"/>
      <sheetData sheetId="4">
        <row r="26">
          <cell r="G26">
            <v>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iming"/>
      <sheetName val="CERC Guidelines 2014-19"/>
      <sheetName val="Allocation of shared assets"/>
      <sheetName val="Summary"/>
      <sheetName val="Inputs"/>
      <sheetName val="Korba"/>
      <sheetName val="Singrauli"/>
      <sheetName val="Rihand"/>
      <sheetName val="Unchahar"/>
      <sheetName val="Tanda"/>
      <sheetName val="Badarpur"/>
      <sheetName val="NCTPP"/>
      <sheetName val="Auriya"/>
      <sheetName val="Anta"/>
      <sheetName val="Dadri"/>
      <sheetName val="Faridabad"/>
      <sheetName val="Vindhyachal-1"/>
      <sheetName val="Sipat"/>
      <sheetName val="Kawas"/>
      <sheetName val="Gandhar"/>
      <sheetName val="Farakha"/>
      <sheetName val="Kahalgaon"/>
      <sheetName val="Talcher-K"/>
      <sheetName val="TTPS"/>
      <sheetName val="Ramagundam"/>
      <sheetName val="Kayamkulam"/>
      <sheetName val="Simadri"/>
      <sheetName val="Mauda"/>
    </sheetNames>
    <sheetDataSet>
      <sheetData sheetId="0"/>
      <sheetData sheetId="1"/>
      <sheetData sheetId="2"/>
      <sheetData sheetId="3"/>
      <sheetData sheetId="4">
        <row r="26">
          <cell r="G26">
            <v>12</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Depreciation Sch"/>
      <sheetName val="Input Sheet"/>
      <sheetName val="Calculations"/>
      <sheetName val="Sheet1"/>
      <sheetName val="copy pasted values"/>
    </sheetNames>
    <definedNames>
      <definedName name="Header1" refersTo="#REF!"/>
    </definedNames>
    <sheetDataSet>
      <sheetData sheetId="0"/>
      <sheetData sheetId="1"/>
      <sheetData sheetId="2"/>
      <sheetData sheetId="3"/>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Depreciation Sch"/>
      <sheetName val="Input Sheet"/>
      <sheetName val="Calculations"/>
      <sheetName val="Sheet1"/>
      <sheetName val="copy pasted values"/>
    </sheetNames>
    <definedNames>
      <definedName name="Header1" refersTo="#REF!"/>
    </definedNames>
    <sheetDataSet>
      <sheetData sheetId="0"/>
      <sheetData sheetId="1"/>
      <sheetData sheetId="2"/>
      <sheetData sheetId="3"/>
      <sheetData sheetId="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APERC Norms"/>
      <sheetName val="Input Sheetnew"/>
      <sheetName val="Calculation_actual sale"/>
      <sheetName val="Depreciation_new"/>
      <sheetName val="hard cost calc"/>
      <sheetName val="impact on tariff"/>
      <sheetName val="Breakup new"/>
      <sheetName val="Coal cost"/>
      <sheetName val="Coal GCV"/>
      <sheetName val="LDO &amp; HFO"/>
      <sheetName val="LIABILITIES"/>
      <sheetName val="Trf_T16_Form 13"/>
      <sheetName val="dep calc"/>
      <sheetName val="Tables for PPT"/>
      <sheetName val="assets"/>
      <sheetName val="tables"/>
      <sheetName val="Trf_T18_Form 14"/>
      <sheetName val="Summary-Capital Cost"/>
      <sheetName val="Trf_T12_Form 3"/>
      <sheetName val="Cost of Fuel_old"/>
      <sheetName val="CC_T4"/>
      <sheetName val="CC_T8"/>
      <sheetName val="CC_T10"/>
      <sheetName val="CC_T13"/>
      <sheetName val="CC_T14_old"/>
    </sheetNames>
    <sheetDataSet>
      <sheetData sheetId="0">
        <row r="11">
          <cell r="C11">
            <v>0.14050000000000001</v>
          </cell>
        </row>
        <row r="15">
          <cell r="C15">
            <v>2</v>
          </cell>
        </row>
        <row r="16">
          <cell r="C16">
            <v>2</v>
          </cell>
        </row>
        <row r="17">
          <cell r="C17">
            <v>1</v>
          </cell>
        </row>
        <row r="19">
          <cell r="C19">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itle"/>
      <sheetName val="Index "/>
      <sheetName val="Form 1"/>
      <sheetName val="Form 2"/>
      <sheetName val="Form 3"/>
      <sheetName val="Form 5"/>
      <sheetName val="form5A"/>
      <sheetName val="Form 5B "/>
      <sheetName val="5B for text"/>
      <sheetName val="Form 6"/>
      <sheetName val="Form 7 "/>
      <sheetName val="Form 9 add cap"/>
      <sheetName val="Form-11"/>
      <sheetName val="Form 5B"/>
      <sheetName val="Table 9"/>
      <sheetName val="Form 5D"/>
      <sheetName val="Table 13"/>
      <sheetName val="Depr"/>
      <sheetName val="Form 12"/>
      <sheetName val="Form 13"/>
      <sheetName val="Form 13A"/>
      <sheetName val="Form13B"/>
      <sheetName val="Form 14"/>
      <sheetName val="Form-15"/>
      <sheetName val="Form 16"/>
      <sheetName val="Form 18 LDO"/>
      <sheetName val="Form 18 HFO"/>
      <sheetName val="Form 18 Coal"/>
      <sheetName val="Appn-I-Energy Charges"/>
      <sheetName val="Form15 Coal "/>
      <sheetName val="Form15 OIL"/>
      <sheetName val="form5D"/>
      <sheetName val="13A sub"/>
      <sheetName val="CC_T14_old"/>
      <sheetName val="App II-loan restructuring"/>
      <sheetName val="App III -liability "/>
      <sheetName val="App-IV input Capital cost"/>
      <sheetName val="TSERC allowance"/>
      <sheetName val="Form 5B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8">
          <cell r="C8" t="str">
            <v>Singareni Thermal Power Project</v>
          </cell>
        </row>
      </sheetData>
      <sheetData sheetId="23" refreshError="1"/>
      <sheetData sheetId="24" refreshError="1"/>
      <sheetData sheetId="25">
        <row r="6">
          <cell r="C6" t="str">
            <v>The Singareni Collieries Company Ltd</v>
          </cell>
        </row>
        <row r="7">
          <cell r="C7" t="str">
            <v>Singareni Thermal Power Project</v>
          </cell>
        </row>
      </sheetData>
      <sheetData sheetId="26">
        <row r="6">
          <cell r="C6" t="str">
            <v>The Singareni Collieries Company Ltd</v>
          </cell>
        </row>
        <row r="7">
          <cell r="C7" t="str">
            <v>Singareni Thermal Power Project</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Sheet1"/>
      <sheetName val="Index"/>
      <sheetName val="Form-1"/>
      <sheetName val="input data"/>
      <sheetName val="Form-1 (I) &amp; (II)"/>
      <sheetName val="Form-2"/>
      <sheetName val="CONSOLE"/>
      <sheetName val="Form3"/>
      <sheetName val="Form-5"/>
      <sheetName val="Form-5A "/>
      <sheetName val="Form-5B formula"/>
      <sheetName val="Form  5B"/>
      <sheetName val="Form5B"/>
      <sheetName val="Form-5D"/>
      <sheetName val="Form 5D"/>
      <sheetName val="Form5E"/>
      <sheetName val="Form6"/>
      <sheetName val="Form7"/>
      <sheetName val="Form9E"/>
      <sheetName val="Form9F"/>
      <sheetName val="Form-11 "/>
      <sheetName val="Form12"/>
      <sheetName val="Form13 "/>
      <sheetName val="Form13A"/>
      <sheetName val="Form13B"/>
      <sheetName val="Form13D"/>
      <sheetName val="Form13E"/>
      <sheetName val="Form14"/>
      <sheetName val="Form14A"/>
      <sheetName val="Form15 Coal "/>
      <sheetName val="Form15 OIL"/>
      <sheetName val="Form18"/>
      <sheetName val="Appn-2 Apportion_Com_Cost"/>
      <sheetName val="Appn-3 Apportion_p&amp;g,pay rev"/>
      <sheetName val=" Appn-4 -Addl O&amp;M"/>
      <sheetName val="Appn-I-Energy Charges"/>
      <sheetName val="Appn -6 P&amp;G"/>
      <sheetName val="Appn-7 pay rev"/>
      <sheetName val="Appn-8 Com Cost"/>
      <sheetName val="APP II(1) Alocn of SF"/>
      <sheetName val=" APP II (2) SF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3">
          <cell r="D13">
            <v>0.155</v>
          </cell>
        </row>
        <row r="17">
          <cell r="D17">
            <v>2339.784576601352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row r="14">
          <cell r="F14">
            <v>3237.0390000000002</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C1:E20"/>
  <sheetViews>
    <sheetView topLeftCell="A7" workbookViewId="0">
      <selection activeCell="G11" sqref="G11"/>
    </sheetView>
  </sheetViews>
  <sheetFormatPr defaultColWidth="9.33203125" defaultRowHeight="12.75"/>
  <cols>
    <col min="1" max="2" width="9.33203125" style="883"/>
    <col min="3" max="3" width="17.5" style="883" customWidth="1"/>
    <col min="4" max="4" width="24.33203125" style="883" customWidth="1"/>
    <col min="5" max="5" width="26" style="883" customWidth="1"/>
    <col min="6" max="16384" width="9.33203125" style="883"/>
  </cols>
  <sheetData>
    <row r="1" spans="3:5" ht="19.5" customHeight="1">
      <c r="E1" s="784" t="s">
        <v>1372</v>
      </c>
    </row>
    <row r="11" spans="3:5" ht="44.45" customHeight="1">
      <c r="C11" s="1465" t="s">
        <v>1384</v>
      </c>
      <c r="D11" s="1465"/>
      <c r="E11" s="1465"/>
    </row>
    <row r="12" spans="3:5" ht="26.25">
      <c r="C12" s="776"/>
      <c r="D12" s="776"/>
      <c r="E12" s="776"/>
    </row>
    <row r="13" spans="3:5" ht="39.6" customHeight="1">
      <c r="C13" s="1465" t="s">
        <v>882</v>
      </c>
      <c r="D13" s="1465"/>
      <c r="E13" s="1465"/>
    </row>
    <row r="14" spans="3:5" ht="26.25">
      <c r="C14" s="776"/>
      <c r="D14" s="776"/>
      <c r="E14" s="776"/>
    </row>
    <row r="15" spans="3:5" ht="58.15" customHeight="1">
      <c r="C15" s="1466" t="s">
        <v>1396</v>
      </c>
      <c r="D15" s="1466"/>
      <c r="E15" s="1466"/>
    </row>
    <row r="16" spans="3:5">
      <c r="C16" s="297"/>
      <c r="D16" s="297"/>
    </row>
    <row r="17" spans="3:5" ht="20.25">
      <c r="C17" s="1467" t="s">
        <v>883</v>
      </c>
      <c r="D17" s="1467"/>
      <c r="E17" s="1467"/>
    </row>
    <row r="18" spans="3:5" ht="20.25">
      <c r="D18" s="777"/>
    </row>
    <row r="19" spans="3:5" ht="20.25">
      <c r="C19" s="1467" t="s">
        <v>1038</v>
      </c>
      <c r="D19" s="1467"/>
      <c r="E19" s="1467"/>
    </row>
    <row r="20" spans="3:5" ht="20.25">
      <c r="D20" s="777"/>
    </row>
  </sheetData>
  <mergeCells count="5">
    <mergeCell ref="C11:E11"/>
    <mergeCell ref="C15:E15"/>
    <mergeCell ref="C13:E13"/>
    <mergeCell ref="C17:E17"/>
    <mergeCell ref="C19:E19"/>
  </mergeCells>
  <printOptions horizontalCentered="1" verticalCentered="1"/>
  <pageMargins left="0.70866141732283472" right="0.70866141732283472" top="0.74803149606299213" bottom="0.74803149606299213" header="0.31496062992125984" footer="0.31496062992125984"/>
  <pageSetup orientation="portrait" r:id="rId1"/>
</worksheet>
</file>

<file path=xl/worksheets/sheet10.xml><?xml version="1.0" encoding="utf-8"?>
<worksheet xmlns="http://schemas.openxmlformats.org/spreadsheetml/2006/main" xmlns:r="http://schemas.openxmlformats.org/officeDocument/2006/relationships">
  <sheetPr>
    <tabColor rgb="FF00B050"/>
    <pageSetUpPr fitToPage="1"/>
  </sheetPr>
  <dimension ref="A1:K92"/>
  <sheetViews>
    <sheetView zoomScale="134" zoomScaleNormal="134" workbookViewId="0">
      <selection activeCell="G70" sqref="G70"/>
    </sheetView>
  </sheetViews>
  <sheetFormatPr defaultColWidth="9.33203125" defaultRowHeight="15"/>
  <cols>
    <col min="1" max="1" width="6.5" style="190" customWidth="1"/>
    <col min="2" max="2" width="18.83203125" style="190" customWidth="1"/>
    <col min="3" max="3" width="18" style="190" customWidth="1"/>
    <col min="4" max="4" width="14.1640625" style="344" customWidth="1"/>
    <col min="5" max="5" width="12.33203125" style="190" customWidth="1"/>
    <col min="6" max="6" width="12.1640625" style="190" customWidth="1"/>
    <col min="7" max="7" width="11.6640625" style="190" customWidth="1"/>
    <col min="8" max="8" width="11.5" style="190" customWidth="1"/>
    <col min="9" max="9" width="12.83203125" style="190" customWidth="1"/>
    <col min="10" max="10" width="15.5" style="190" customWidth="1"/>
    <col min="11" max="11" width="12.83203125" style="190" customWidth="1"/>
    <col min="12" max="16384" width="9.33203125" style="190"/>
  </cols>
  <sheetData>
    <row r="1" spans="1:11" ht="15.75" thickBot="1">
      <c r="A1" s="191"/>
      <c r="B1" s="191"/>
      <c r="C1" s="191"/>
      <c r="D1" s="358"/>
      <c r="E1" s="191"/>
      <c r="F1" s="191"/>
      <c r="G1" s="191"/>
      <c r="H1" s="191"/>
      <c r="I1" s="191"/>
      <c r="J1" s="191"/>
      <c r="K1" s="191"/>
    </row>
    <row r="2" spans="1:11">
      <c r="A2" s="194"/>
      <c r="B2" s="195"/>
      <c r="C2" s="195"/>
      <c r="D2" s="352"/>
      <c r="E2" s="195"/>
      <c r="F2" s="195"/>
      <c r="G2" s="195"/>
      <c r="H2" s="195"/>
      <c r="I2" s="195"/>
      <c r="J2" s="195"/>
      <c r="K2" s="372"/>
    </row>
    <row r="3" spans="1:11">
      <c r="A3" s="196"/>
      <c r="K3" s="198"/>
    </row>
    <row r="4" spans="1:11">
      <c r="A4" s="196"/>
      <c r="K4" s="198"/>
    </row>
    <row r="5" spans="1:11" ht="18" customHeight="1">
      <c r="A5" s="1565" t="s">
        <v>569</v>
      </c>
      <c r="B5" s="1566"/>
      <c r="C5" s="1566"/>
      <c r="D5" s="1566"/>
      <c r="E5" s="1566"/>
      <c r="F5" s="1566"/>
      <c r="G5" s="1566"/>
      <c r="H5" s="1566"/>
      <c r="I5" s="1566"/>
      <c r="J5" s="1566"/>
      <c r="K5" s="1567"/>
    </row>
    <row r="6" spans="1:11">
      <c r="A6" s="208"/>
      <c r="B6" s="200"/>
      <c r="C6" s="200"/>
      <c r="D6" s="200"/>
      <c r="E6" s="200"/>
      <c r="F6" s="200"/>
      <c r="G6" s="200"/>
      <c r="H6" s="200"/>
      <c r="I6" s="200"/>
      <c r="J6" s="200"/>
      <c r="K6" s="198"/>
    </row>
    <row r="7" spans="1:11" ht="27" customHeight="1">
      <c r="A7" s="1568" t="s">
        <v>498</v>
      </c>
      <c r="B7" s="1569"/>
      <c r="C7" s="1569"/>
      <c r="D7" s="1569"/>
      <c r="E7" s="1570" t="s">
        <v>464</v>
      </c>
      <c r="F7" s="1570"/>
      <c r="G7" s="1570"/>
      <c r="H7" s="1570"/>
      <c r="I7" s="1570"/>
      <c r="K7" s="198"/>
    </row>
    <row r="8" spans="1:11" ht="25.5" customHeight="1">
      <c r="A8" s="1568" t="s">
        <v>499</v>
      </c>
      <c r="B8" s="1569"/>
      <c r="C8" s="1569"/>
      <c r="D8" s="1569"/>
      <c r="E8" s="1570" t="s">
        <v>461</v>
      </c>
      <c r="F8" s="1570"/>
      <c r="G8" s="1570"/>
      <c r="H8" s="1570"/>
      <c r="I8" s="1570"/>
      <c r="K8" s="198"/>
    </row>
    <row r="9" spans="1:11" ht="19.5" customHeight="1">
      <c r="A9" s="210"/>
      <c r="B9" s="192"/>
      <c r="C9" s="192"/>
      <c r="D9" s="335"/>
      <c r="E9" s="335"/>
      <c r="F9" s="335"/>
      <c r="G9" s="335"/>
      <c r="H9" s="335"/>
      <c r="I9" s="335"/>
      <c r="K9" s="623" t="s">
        <v>504</v>
      </c>
    </row>
    <row r="10" spans="1:11" ht="31.15" customHeight="1">
      <c r="A10" s="1571" t="s">
        <v>417</v>
      </c>
      <c r="B10" s="1520" t="s">
        <v>500</v>
      </c>
      <c r="C10" s="1520" t="s">
        <v>751</v>
      </c>
      <c r="D10" s="1520" t="s">
        <v>814</v>
      </c>
      <c r="E10" s="1520" t="s">
        <v>815</v>
      </c>
      <c r="F10" s="1572" t="s">
        <v>749</v>
      </c>
      <c r="G10" s="1520" t="s">
        <v>837</v>
      </c>
      <c r="H10" s="1572" t="s">
        <v>750</v>
      </c>
      <c r="I10" s="1520" t="s">
        <v>838</v>
      </c>
      <c r="J10" s="1572" t="s">
        <v>747</v>
      </c>
      <c r="K10" s="1521" t="s">
        <v>1373</v>
      </c>
    </row>
    <row r="11" spans="1:11" ht="90.6" customHeight="1">
      <c r="A11" s="1571"/>
      <c r="B11" s="1520"/>
      <c r="C11" s="1520"/>
      <c r="D11" s="1520"/>
      <c r="E11" s="1520"/>
      <c r="F11" s="1572"/>
      <c r="G11" s="1520"/>
      <c r="H11" s="1572"/>
      <c r="I11" s="1520"/>
      <c r="J11" s="1572"/>
      <c r="K11" s="1521"/>
    </row>
    <row r="12" spans="1:11">
      <c r="A12" s="220">
        <v>-1</v>
      </c>
      <c r="B12" s="332">
        <v>-2</v>
      </c>
      <c r="C12" s="332">
        <v>-3</v>
      </c>
      <c r="D12" s="332">
        <v>-4</v>
      </c>
      <c r="E12" s="332">
        <v>-5</v>
      </c>
      <c r="F12" s="332">
        <v>-6</v>
      </c>
      <c r="G12" s="332">
        <v>-7</v>
      </c>
      <c r="H12" s="332">
        <v>-8</v>
      </c>
      <c r="I12" s="332">
        <v>-9</v>
      </c>
      <c r="J12" s="332">
        <v>-10</v>
      </c>
      <c r="K12" s="221">
        <v>-11</v>
      </c>
    </row>
    <row r="13" spans="1:11">
      <c r="A13" s="211">
        <v>1</v>
      </c>
      <c r="B13" s="222" t="s">
        <v>505</v>
      </c>
      <c r="C13" s="222"/>
      <c r="D13" s="353"/>
      <c r="E13" s="222"/>
      <c r="F13" s="222"/>
      <c r="G13" s="222"/>
      <c r="H13" s="222"/>
      <c r="I13" s="222"/>
      <c r="J13" s="222"/>
      <c r="K13" s="375"/>
    </row>
    <row r="14" spans="1:11" ht="14.45" customHeight="1">
      <c r="A14" s="336">
        <v>1.1000000000000001</v>
      </c>
      <c r="B14" s="369" t="s">
        <v>506</v>
      </c>
      <c r="C14" s="369">
        <v>2985.56</v>
      </c>
      <c r="D14" s="443"/>
      <c r="E14" s="333"/>
      <c r="F14" s="333"/>
      <c r="G14" s="333"/>
      <c r="H14" s="333"/>
      <c r="I14" s="333"/>
      <c r="J14" s="443"/>
      <c r="K14" s="375"/>
    </row>
    <row r="15" spans="1:11">
      <c r="A15" s="336">
        <v>1.2</v>
      </c>
      <c r="B15" s="369" t="s">
        <v>508</v>
      </c>
      <c r="C15" s="369">
        <v>388.03</v>
      </c>
      <c r="D15" s="443"/>
      <c r="E15" s="443"/>
      <c r="F15" s="443"/>
      <c r="G15" s="443"/>
      <c r="H15" s="443"/>
      <c r="I15" s="443"/>
      <c r="J15" s="443"/>
      <c r="K15" s="375"/>
    </row>
    <row r="16" spans="1:11">
      <c r="A16" s="336">
        <v>1.3</v>
      </c>
      <c r="B16" s="369" t="s">
        <v>509</v>
      </c>
      <c r="C16" s="369">
        <v>75.7</v>
      </c>
      <c r="D16" s="443"/>
      <c r="E16" s="443"/>
      <c r="F16" s="443"/>
      <c r="G16" s="443"/>
      <c r="H16" s="443"/>
      <c r="I16" s="443"/>
      <c r="J16" s="444"/>
      <c r="K16" s="375"/>
    </row>
    <row r="17" spans="1:11">
      <c r="A17" s="336">
        <v>1.4</v>
      </c>
      <c r="B17" s="369" t="s">
        <v>510</v>
      </c>
      <c r="C17" s="369">
        <v>610</v>
      </c>
      <c r="D17" s="443"/>
      <c r="E17" s="443"/>
      <c r="F17" s="443"/>
      <c r="G17" s="443"/>
      <c r="H17" s="443"/>
      <c r="I17" s="443"/>
      <c r="J17" s="443"/>
      <c r="K17" s="375"/>
    </row>
    <row r="18" spans="1:11">
      <c r="A18" s="336">
        <v>1.5</v>
      </c>
      <c r="B18" s="369" t="s">
        <v>511</v>
      </c>
      <c r="C18" s="369">
        <f>SUM(C14:C17)</f>
        <v>4059.29</v>
      </c>
      <c r="D18" s="443"/>
      <c r="E18" s="443"/>
      <c r="F18" s="443"/>
      <c r="G18" s="443"/>
      <c r="H18" s="443"/>
      <c r="I18" s="443"/>
      <c r="J18" s="443"/>
      <c r="K18" s="375"/>
    </row>
    <row r="19" spans="1:11">
      <c r="A19" s="336">
        <v>1.6</v>
      </c>
      <c r="B19" s="369" t="s">
        <v>512</v>
      </c>
      <c r="C19" s="369">
        <v>775</v>
      </c>
      <c r="D19" s="443"/>
      <c r="E19" s="443"/>
      <c r="F19" s="443"/>
      <c r="G19" s="443"/>
      <c r="H19" s="443"/>
      <c r="I19" s="443"/>
      <c r="J19" s="443"/>
      <c r="K19" s="375"/>
    </row>
    <row r="20" spans="1:11" ht="24">
      <c r="A20" s="336">
        <v>1.7</v>
      </c>
      <c r="B20" s="369" t="s">
        <v>513</v>
      </c>
      <c r="C20" s="369">
        <v>100.21</v>
      </c>
      <c r="D20" s="443"/>
      <c r="E20" s="443"/>
      <c r="F20" s="443"/>
      <c r="G20" s="443"/>
      <c r="H20" s="443"/>
      <c r="I20" s="443"/>
      <c r="J20" s="443"/>
      <c r="K20" s="375"/>
    </row>
    <row r="21" spans="1:11">
      <c r="A21" s="211">
        <v>1.8</v>
      </c>
      <c r="B21" s="333" t="s">
        <v>514</v>
      </c>
      <c r="C21" s="333">
        <f>C18+C19+C20</f>
        <v>4934.5</v>
      </c>
      <c r="D21" s="442">
        <v>4749.95</v>
      </c>
      <c r="E21" s="442">
        <v>4781.54</v>
      </c>
      <c r="F21" s="442">
        <f>G21-E21</f>
        <v>-9.3999999999996362</v>
      </c>
      <c r="G21" s="442">
        <v>4772.1400000000003</v>
      </c>
      <c r="H21" s="442">
        <f>I21-G21</f>
        <v>0</v>
      </c>
      <c r="I21" s="442">
        <v>4772.1400000000003</v>
      </c>
      <c r="J21" s="203">
        <f>C21-E21-F21-H21</f>
        <v>162.35999999999967</v>
      </c>
      <c r="K21" s="218">
        <f>I21+J21</f>
        <v>4934.5</v>
      </c>
    </row>
    <row r="22" spans="1:11">
      <c r="A22" s="211">
        <v>2</v>
      </c>
      <c r="B22" s="1560" t="s">
        <v>515</v>
      </c>
      <c r="C22" s="1560"/>
      <c r="D22" s="1560"/>
      <c r="E22" s="1560"/>
      <c r="F22" s="1560"/>
      <c r="G22" s="1560"/>
      <c r="H22" s="1560"/>
      <c r="I22" s="1560"/>
      <c r="J22" s="1560"/>
      <c r="K22" s="1561"/>
    </row>
    <row r="23" spans="1:11" ht="22.9" customHeight="1">
      <c r="A23" s="336">
        <v>2.1</v>
      </c>
      <c r="B23" s="369" t="s">
        <v>516</v>
      </c>
      <c r="C23" s="369">
        <v>490</v>
      </c>
      <c r="D23" s="443"/>
      <c r="E23" s="443"/>
      <c r="F23" s="443"/>
      <c r="G23" s="443"/>
      <c r="H23" s="443"/>
      <c r="I23" s="443"/>
      <c r="J23" s="443"/>
      <c r="K23" s="375"/>
    </row>
    <row r="24" spans="1:11">
      <c r="A24" s="336">
        <v>2.2000000000000002</v>
      </c>
      <c r="B24" s="369" t="s">
        <v>518</v>
      </c>
      <c r="C24" s="369">
        <v>340</v>
      </c>
      <c r="D24" s="443"/>
      <c r="E24" s="443"/>
      <c r="F24" s="443"/>
      <c r="G24" s="443"/>
      <c r="H24" s="443"/>
      <c r="I24" s="443"/>
      <c r="J24" s="443"/>
      <c r="K24" s="375"/>
    </row>
    <row r="25" spans="1:11">
      <c r="A25" s="336">
        <v>2.2999999999999998</v>
      </c>
      <c r="B25" s="369" t="s">
        <v>519</v>
      </c>
      <c r="C25" s="369">
        <v>140</v>
      </c>
      <c r="D25" s="443"/>
      <c r="E25" s="443"/>
      <c r="F25" s="443"/>
      <c r="G25" s="443"/>
      <c r="H25" s="443"/>
      <c r="I25" s="443"/>
      <c r="J25" s="443"/>
      <c r="K25" s="375"/>
    </row>
    <row r="26" spans="1:11">
      <c r="A26" s="336">
        <v>2.4</v>
      </c>
      <c r="B26" s="369" t="s">
        <v>520</v>
      </c>
      <c r="C26" s="369">
        <v>3</v>
      </c>
      <c r="D26" s="443"/>
      <c r="E26" s="443"/>
      <c r="F26" s="443"/>
      <c r="G26" s="443"/>
      <c r="H26" s="443"/>
      <c r="I26" s="443"/>
      <c r="J26" s="443"/>
      <c r="K26" s="375"/>
    </row>
    <row r="27" spans="1:11">
      <c r="A27" s="336">
        <v>2.5</v>
      </c>
      <c r="B27" s="369" t="s">
        <v>511</v>
      </c>
      <c r="C27" s="369">
        <v>973</v>
      </c>
      <c r="D27" s="443"/>
      <c r="E27" s="443"/>
      <c r="F27" s="443"/>
      <c r="G27" s="443"/>
      <c r="H27" s="443"/>
      <c r="I27" s="443"/>
      <c r="J27" s="443"/>
      <c r="K27" s="375"/>
    </row>
    <row r="28" spans="1:11">
      <c r="A28" s="336">
        <v>2.6</v>
      </c>
      <c r="B28" s="369" t="s">
        <v>521</v>
      </c>
      <c r="C28" s="369">
        <f>65-18</f>
        <v>47</v>
      </c>
      <c r="D28" s="443"/>
      <c r="E28" s="443"/>
      <c r="F28" s="443"/>
      <c r="G28" s="443"/>
      <c r="H28" s="443"/>
      <c r="I28" s="443"/>
      <c r="J28" s="443"/>
      <c r="K28" s="375"/>
    </row>
    <row r="29" spans="1:11">
      <c r="A29" s="211">
        <v>2.7</v>
      </c>
      <c r="B29" s="333" t="s">
        <v>522</v>
      </c>
      <c r="C29" s="333">
        <f>C27+C28</f>
        <v>1020</v>
      </c>
      <c r="D29" s="442">
        <v>837.26</v>
      </c>
      <c r="E29" s="442">
        <v>864.96</v>
      </c>
      <c r="F29" s="442">
        <f>G29-E29</f>
        <v>12.139999999999986</v>
      </c>
      <c r="G29" s="442">
        <v>877.1</v>
      </c>
      <c r="H29" s="442">
        <f>I29-G29</f>
        <v>100.31999999999994</v>
      </c>
      <c r="I29" s="442">
        <v>977.42</v>
      </c>
      <c r="J29" s="442">
        <f>C29-E29-F29-H29</f>
        <v>42.580000000000041</v>
      </c>
      <c r="K29" s="218">
        <f>I29+J29</f>
        <v>1020</v>
      </c>
    </row>
    <row r="30" spans="1:11">
      <c r="A30" s="211">
        <v>3</v>
      </c>
      <c r="B30" s="1562" t="s">
        <v>523</v>
      </c>
      <c r="C30" s="1562"/>
      <c r="D30" s="1562"/>
      <c r="E30" s="1562"/>
      <c r="F30" s="1562"/>
      <c r="G30" s="1562"/>
      <c r="H30" s="1562"/>
      <c r="I30" s="1562"/>
      <c r="J30" s="1562"/>
      <c r="K30" s="1563"/>
    </row>
    <row r="31" spans="1:11" ht="68.25" customHeight="1">
      <c r="A31" s="336">
        <v>3.1</v>
      </c>
      <c r="B31" s="369" t="s">
        <v>524</v>
      </c>
      <c r="C31" s="333">
        <v>50</v>
      </c>
      <c r="D31" s="443">
        <v>39.700000000000003</v>
      </c>
      <c r="E31" s="443">
        <v>40.36</v>
      </c>
      <c r="F31" s="443">
        <f>G31-E31</f>
        <v>-0.64999999999999858</v>
      </c>
      <c r="G31" s="443">
        <v>39.71</v>
      </c>
      <c r="H31" s="443">
        <f>I31-G31</f>
        <v>0.15999999999999659</v>
      </c>
      <c r="I31" s="443">
        <v>39.869999999999997</v>
      </c>
      <c r="J31" s="443">
        <f t="shared" ref="J31:J50" si="0">C31-E31-F31-H31</f>
        <v>10.130000000000003</v>
      </c>
      <c r="K31" s="334">
        <f t="shared" ref="K31:K65" si="1">I31+J31</f>
        <v>50</v>
      </c>
    </row>
    <row r="32" spans="1:11" ht="24">
      <c r="A32" s="336">
        <v>3.2</v>
      </c>
      <c r="B32" s="369" t="s">
        <v>526</v>
      </c>
      <c r="C32" s="369">
        <v>0.3</v>
      </c>
      <c r="D32" s="443">
        <v>0.02</v>
      </c>
      <c r="E32" s="443">
        <v>0.02</v>
      </c>
      <c r="F32" s="443">
        <f t="shared" ref="F32:F51" si="2">G32-E32</f>
        <v>0</v>
      </c>
      <c r="G32" s="443">
        <v>0.02</v>
      </c>
      <c r="H32" s="443">
        <f t="shared" ref="H32:H51" si="3">I32-G32</f>
        <v>0</v>
      </c>
      <c r="I32" s="443">
        <v>0.02</v>
      </c>
      <c r="J32" s="443">
        <f t="shared" si="0"/>
        <v>0.27999999999999997</v>
      </c>
      <c r="K32" s="1302">
        <f t="shared" si="1"/>
        <v>0.3</v>
      </c>
    </row>
    <row r="33" spans="1:11" ht="24">
      <c r="A33" s="336">
        <v>3.3</v>
      </c>
      <c r="B33" s="369" t="s">
        <v>528</v>
      </c>
      <c r="C33" s="369">
        <v>24</v>
      </c>
      <c r="D33" s="443">
        <v>21.35</v>
      </c>
      <c r="E33" s="443">
        <v>21.35</v>
      </c>
      <c r="F33" s="443">
        <f t="shared" si="2"/>
        <v>2.0299999999999976</v>
      </c>
      <c r="G33" s="443">
        <v>23.38</v>
      </c>
      <c r="H33" s="443">
        <f t="shared" si="3"/>
        <v>1.0000000000001563E-2</v>
      </c>
      <c r="I33" s="443">
        <v>23.39</v>
      </c>
      <c r="J33" s="443">
        <f t="shared" si="0"/>
        <v>0.60999999999999943</v>
      </c>
      <c r="K33" s="1302">
        <f t="shared" si="1"/>
        <v>24</v>
      </c>
    </row>
    <row r="34" spans="1:11">
      <c r="A34" s="336">
        <v>3.4</v>
      </c>
      <c r="B34" s="369" t="s">
        <v>531</v>
      </c>
      <c r="C34" s="333">
        <v>20</v>
      </c>
      <c r="D34" s="443">
        <v>11.44</v>
      </c>
      <c r="E34" s="443">
        <v>11.44</v>
      </c>
      <c r="F34" s="443">
        <f t="shared" si="2"/>
        <v>0.3100000000000005</v>
      </c>
      <c r="G34" s="443">
        <v>11.75</v>
      </c>
      <c r="H34" s="443">
        <f t="shared" si="3"/>
        <v>0.58999999999999986</v>
      </c>
      <c r="I34" s="443">
        <v>12.34</v>
      </c>
      <c r="J34" s="443">
        <f t="shared" si="0"/>
        <v>7.66</v>
      </c>
      <c r="K34" s="1302">
        <f t="shared" si="1"/>
        <v>20</v>
      </c>
    </row>
    <row r="35" spans="1:11" ht="24">
      <c r="A35" s="336">
        <v>3.5</v>
      </c>
      <c r="B35" s="369" t="s">
        <v>832</v>
      </c>
      <c r="C35" s="369">
        <v>52</v>
      </c>
      <c r="D35" s="443">
        <v>42.61</v>
      </c>
      <c r="E35" s="443">
        <v>42.61</v>
      </c>
      <c r="F35" s="443">
        <f t="shared" si="2"/>
        <v>3.1099999999999994</v>
      </c>
      <c r="G35" s="443">
        <v>45.72</v>
      </c>
      <c r="H35" s="443">
        <f t="shared" si="3"/>
        <v>-1.0899999999999963</v>
      </c>
      <c r="I35" s="443">
        <v>44.63</v>
      </c>
      <c r="J35" s="443">
        <f t="shared" si="0"/>
        <v>7.3699999999999974</v>
      </c>
      <c r="K35" s="1302">
        <f t="shared" si="1"/>
        <v>52</v>
      </c>
    </row>
    <row r="36" spans="1:11">
      <c r="A36" s="336">
        <v>3.6</v>
      </c>
      <c r="B36" s="369" t="s">
        <v>535</v>
      </c>
      <c r="C36" s="369">
        <v>19</v>
      </c>
      <c r="D36" s="443">
        <v>16.579999999999998</v>
      </c>
      <c r="E36" s="443">
        <v>16.940000000000001</v>
      </c>
      <c r="F36" s="443">
        <f t="shared" si="2"/>
        <v>0.25</v>
      </c>
      <c r="G36" s="443">
        <v>17.190000000000001</v>
      </c>
      <c r="H36" s="443">
        <f t="shared" si="3"/>
        <v>0</v>
      </c>
      <c r="I36" s="443">
        <v>17.190000000000001</v>
      </c>
      <c r="J36" s="443">
        <f t="shared" si="0"/>
        <v>1.8099999999999987</v>
      </c>
      <c r="K36" s="1302">
        <f t="shared" si="1"/>
        <v>19</v>
      </c>
    </row>
    <row r="37" spans="1:11">
      <c r="A37" s="336">
        <v>3.7</v>
      </c>
      <c r="B37" s="369" t="s">
        <v>537</v>
      </c>
      <c r="C37" s="369">
        <v>58</v>
      </c>
      <c r="D37" s="443">
        <v>42.93</v>
      </c>
      <c r="E37" s="443">
        <v>43.17</v>
      </c>
      <c r="F37" s="443">
        <f t="shared" si="2"/>
        <v>2.8999999999999986</v>
      </c>
      <c r="G37" s="443">
        <v>46.07</v>
      </c>
      <c r="H37" s="443">
        <f t="shared" si="3"/>
        <v>5.4099999999999966</v>
      </c>
      <c r="I37" s="443">
        <v>51.48</v>
      </c>
      <c r="J37" s="443">
        <f t="shared" si="0"/>
        <v>6.5200000000000031</v>
      </c>
      <c r="K37" s="1302">
        <f t="shared" si="1"/>
        <v>58</v>
      </c>
    </row>
    <row r="38" spans="1:11" ht="24">
      <c r="A38" s="336">
        <v>3.8</v>
      </c>
      <c r="B38" s="369" t="s">
        <v>539</v>
      </c>
      <c r="C38" s="369">
        <v>86</v>
      </c>
      <c r="D38" s="356">
        <v>79.86</v>
      </c>
      <c r="E38" s="356">
        <v>83.48</v>
      </c>
      <c r="F38" s="443">
        <f t="shared" si="2"/>
        <v>0.47999999999998977</v>
      </c>
      <c r="G38" s="443">
        <v>83.96</v>
      </c>
      <c r="H38" s="443">
        <f t="shared" si="3"/>
        <v>0.22000000000001307</v>
      </c>
      <c r="I38" s="443">
        <v>84.18</v>
      </c>
      <c r="J38" s="443">
        <f t="shared" si="0"/>
        <v>1.8199999999999932</v>
      </c>
      <c r="K38" s="1302">
        <f t="shared" si="1"/>
        <v>86</v>
      </c>
    </row>
    <row r="39" spans="1:11" ht="24">
      <c r="A39" s="336">
        <v>3.9</v>
      </c>
      <c r="B39" s="369" t="s">
        <v>540</v>
      </c>
      <c r="C39" s="369">
        <f>378-C38</f>
        <v>292</v>
      </c>
      <c r="D39" s="483">
        <v>240.78</v>
      </c>
      <c r="E39" s="443">
        <v>245.31</v>
      </c>
      <c r="F39" s="443">
        <f t="shared" si="2"/>
        <v>5.0699999999999932</v>
      </c>
      <c r="G39" s="443">
        <v>250.38</v>
      </c>
      <c r="H39" s="443">
        <f t="shared" si="3"/>
        <v>24.149999999999977</v>
      </c>
      <c r="I39" s="443">
        <v>274.52999999999997</v>
      </c>
      <c r="J39" s="443">
        <f t="shared" si="0"/>
        <v>17.470000000000027</v>
      </c>
      <c r="K39" s="1302">
        <f t="shared" si="1"/>
        <v>292</v>
      </c>
    </row>
    <row r="40" spans="1:11" ht="24">
      <c r="A40" s="450" t="s">
        <v>829</v>
      </c>
      <c r="B40" s="369" t="s">
        <v>541</v>
      </c>
      <c r="C40" s="369">
        <v>5.4</v>
      </c>
      <c r="D40" s="356">
        <v>0.23</v>
      </c>
      <c r="E40" s="443">
        <v>0.23</v>
      </c>
      <c r="F40" s="443">
        <f t="shared" si="2"/>
        <v>0.37</v>
      </c>
      <c r="G40" s="443">
        <v>0.6</v>
      </c>
      <c r="H40" s="443">
        <f t="shared" si="3"/>
        <v>0.85</v>
      </c>
      <c r="I40" s="443">
        <v>1.45</v>
      </c>
      <c r="J40" s="443">
        <f t="shared" si="0"/>
        <v>3.9499999999999997</v>
      </c>
      <c r="K40" s="1302">
        <f t="shared" si="1"/>
        <v>5.3999999999999995</v>
      </c>
    </row>
    <row r="41" spans="1:11">
      <c r="A41" s="336">
        <v>3.11</v>
      </c>
      <c r="B41" s="369" t="s">
        <v>542</v>
      </c>
      <c r="C41" s="369">
        <v>184</v>
      </c>
      <c r="D41" s="356">
        <v>78.53</v>
      </c>
      <c r="E41" s="443">
        <v>80.739999999999995</v>
      </c>
      <c r="F41" s="443">
        <f t="shared" si="2"/>
        <v>72.36</v>
      </c>
      <c r="G41" s="443">
        <v>153.1</v>
      </c>
      <c r="H41" s="443">
        <f t="shared" si="3"/>
        <v>117.77000000000001</v>
      </c>
      <c r="I41" s="443">
        <v>270.87</v>
      </c>
      <c r="J41" s="443">
        <f t="shared" si="0"/>
        <v>-86.87</v>
      </c>
      <c r="K41" s="1302">
        <f t="shared" si="1"/>
        <v>184</v>
      </c>
    </row>
    <row r="42" spans="1:11" ht="36">
      <c r="A42" s="336">
        <v>3.12</v>
      </c>
      <c r="B42" s="369" t="s">
        <v>744</v>
      </c>
      <c r="C42" s="369">
        <v>145</v>
      </c>
      <c r="D42" s="356">
        <v>50.2</v>
      </c>
      <c r="E42" s="443">
        <v>52.18</v>
      </c>
      <c r="F42" s="443">
        <f t="shared" si="2"/>
        <v>11.32</v>
      </c>
      <c r="G42" s="443">
        <v>63.5</v>
      </c>
      <c r="H42" s="443">
        <f t="shared" si="3"/>
        <v>26.799999999999997</v>
      </c>
      <c r="I42" s="443">
        <v>90.3</v>
      </c>
      <c r="J42" s="443">
        <f t="shared" si="0"/>
        <v>54.7</v>
      </c>
      <c r="K42" s="1302">
        <f t="shared" si="1"/>
        <v>145</v>
      </c>
    </row>
    <row r="43" spans="1:11">
      <c r="A43" s="336">
        <v>3.13</v>
      </c>
      <c r="B43" s="369" t="s">
        <v>543</v>
      </c>
      <c r="C43" s="369">
        <v>4</v>
      </c>
      <c r="D43" s="356">
        <v>0.74</v>
      </c>
      <c r="E43" s="443">
        <v>0.79</v>
      </c>
      <c r="F43" s="443">
        <f t="shared" si="2"/>
        <v>-1.0000000000000009E-2</v>
      </c>
      <c r="G43" s="443">
        <v>0.78</v>
      </c>
      <c r="H43" s="443">
        <f t="shared" si="3"/>
        <v>8.9999999999999969E-2</v>
      </c>
      <c r="I43" s="443">
        <v>0.87</v>
      </c>
      <c r="J43" s="443">
        <f t="shared" si="0"/>
        <v>3.13</v>
      </c>
      <c r="K43" s="1302">
        <f t="shared" si="1"/>
        <v>4</v>
      </c>
    </row>
    <row r="44" spans="1:11">
      <c r="A44" s="336">
        <v>3.14</v>
      </c>
      <c r="B44" s="369" t="s">
        <v>544</v>
      </c>
      <c r="C44" s="369">
        <v>22.1</v>
      </c>
      <c r="D44" s="356">
        <v>9.2899999999999991</v>
      </c>
      <c r="E44" s="443">
        <v>9.4499999999999993</v>
      </c>
      <c r="F44" s="443">
        <f t="shared" si="2"/>
        <v>0.60000000000000142</v>
      </c>
      <c r="G44" s="443">
        <v>10.050000000000001</v>
      </c>
      <c r="H44" s="443">
        <f t="shared" si="3"/>
        <v>0.67999999999999972</v>
      </c>
      <c r="I44" s="443">
        <v>10.73</v>
      </c>
      <c r="J44" s="443">
        <f t="shared" si="0"/>
        <v>11.370000000000001</v>
      </c>
      <c r="K44" s="1302">
        <f t="shared" si="1"/>
        <v>22.1</v>
      </c>
    </row>
    <row r="45" spans="1:11" ht="24">
      <c r="A45" s="336">
        <v>3.15</v>
      </c>
      <c r="B45" s="369" t="s">
        <v>545</v>
      </c>
      <c r="C45" s="369">
        <v>2</v>
      </c>
      <c r="D45" s="356">
        <v>0.42</v>
      </c>
      <c r="E45" s="443">
        <v>0.42</v>
      </c>
      <c r="F45" s="443">
        <f t="shared" si="2"/>
        <v>3.0000000000000027E-2</v>
      </c>
      <c r="G45" s="443">
        <v>0.45</v>
      </c>
      <c r="H45" s="443">
        <f t="shared" si="3"/>
        <v>0</v>
      </c>
      <c r="I45" s="443">
        <v>0.45</v>
      </c>
      <c r="J45" s="443">
        <f t="shared" si="0"/>
        <v>1.55</v>
      </c>
      <c r="K45" s="1302">
        <f t="shared" si="1"/>
        <v>2</v>
      </c>
    </row>
    <row r="46" spans="1:11" ht="36">
      <c r="A46" s="336">
        <v>3.16</v>
      </c>
      <c r="B46" s="369" t="s">
        <v>546</v>
      </c>
      <c r="C46" s="369">
        <v>49</v>
      </c>
      <c r="D46" s="356">
        <v>42</v>
      </c>
      <c r="E46" s="443">
        <v>42</v>
      </c>
      <c r="F46" s="443">
        <f t="shared" si="2"/>
        <v>6.0200000000000031</v>
      </c>
      <c r="G46" s="443">
        <v>48.02</v>
      </c>
      <c r="H46" s="443">
        <f t="shared" si="3"/>
        <v>0</v>
      </c>
      <c r="I46" s="443">
        <v>48.02</v>
      </c>
      <c r="J46" s="443">
        <f t="shared" si="0"/>
        <v>0.97999999999999687</v>
      </c>
      <c r="K46" s="1302">
        <f t="shared" si="1"/>
        <v>49</v>
      </c>
    </row>
    <row r="47" spans="1:11" ht="24">
      <c r="A47" s="336">
        <v>3.17</v>
      </c>
      <c r="B47" s="369" t="s">
        <v>547</v>
      </c>
      <c r="C47" s="369">
        <v>30</v>
      </c>
      <c r="D47" s="356">
        <v>24.66</v>
      </c>
      <c r="E47" s="443">
        <v>24.97</v>
      </c>
      <c r="F47" s="443">
        <f t="shared" si="2"/>
        <v>-0.57000000000000028</v>
      </c>
      <c r="G47" s="1300">
        <v>24.4</v>
      </c>
      <c r="H47" s="443">
        <f t="shared" si="3"/>
        <v>0</v>
      </c>
      <c r="I47" s="443">
        <v>24.4</v>
      </c>
      <c r="J47" s="443">
        <f t="shared" si="0"/>
        <v>5.6000000000000014</v>
      </c>
      <c r="K47" s="1302">
        <f t="shared" si="1"/>
        <v>30</v>
      </c>
    </row>
    <row r="48" spans="1:11" ht="24">
      <c r="A48" s="336">
        <v>3.18</v>
      </c>
      <c r="B48" s="369" t="s">
        <v>548</v>
      </c>
      <c r="C48" s="369">
        <v>6</v>
      </c>
      <c r="D48" s="356">
        <v>2.37</v>
      </c>
      <c r="E48" s="443">
        <v>2.37</v>
      </c>
      <c r="F48" s="443">
        <f t="shared" si="2"/>
        <v>-0.18999999999999995</v>
      </c>
      <c r="G48" s="443">
        <v>2.1800000000000002</v>
      </c>
      <c r="H48" s="443">
        <f t="shared" si="3"/>
        <v>0.54</v>
      </c>
      <c r="I48" s="443">
        <v>2.72</v>
      </c>
      <c r="J48" s="443">
        <f t="shared" si="0"/>
        <v>3.28</v>
      </c>
      <c r="K48" s="1302">
        <f t="shared" si="1"/>
        <v>6</v>
      </c>
    </row>
    <row r="49" spans="1:11">
      <c r="A49" s="336">
        <v>3.19</v>
      </c>
      <c r="B49" s="369" t="s">
        <v>549</v>
      </c>
      <c r="C49" s="369">
        <v>8</v>
      </c>
      <c r="D49" s="356">
        <v>3.25</v>
      </c>
      <c r="E49" s="443">
        <v>3.48</v>
      </c>
      <c r="F49" s="443">
        <f t="shared" si="2"/>
        <v>0.51000000000000023</v>
      </c>
      <c r="G49" s="443">
        <v>3.99</v>
      </c>
      <c r="H49" s="443">
        <f t="shared" si="3"/>
        <v>0.50999999999999979</v>
      </c>
      <c r="I49" s="443">
        <v>4.5</v>
      </c>
      <c r="J49" s="443">
        <f t="shared" si="0"/>
        <v>3.5</v>
      </c>
      <c r="K49" s="1302">
        <f t="shared" si="1"/>
        <v>8</v>
      </c>
    </row>
    <row r="50" spans="1:11">
      <c r="A50" s="343">
        <v>3.2</v>
      </c>
      <c r="B50" s="369" t="s">
        <v>550</v>
      </c>
      <c r="C50" s="369"/>
      <c r="D50" s="356">
        <v>0</v>
      </c>
      <c r="E50" s="443">
        <v>0</v>
      </c>
      <c r="F50" s="443">
        <f t="shared" si="2"/>
        <v>0</v>
      </c>
      <c r="G50" s="443">
        <v>0</v>
      </c>
      <c r="H50" s="443">
        <f t="shared" si="3"/>
        <v>0</v>
      </c>
      <c r="I50" s="443">
        <v>0</v>
      </c>
      <c r="J50" s="443">
        <f t="shared" si="0"/>
        <v>0</v>
      </c>
      <c r="K50" s="1302">
        <f t="shared" si="1"/>
        <v>0</v>
      </c>
    </row>
    <row r="51" spans="1:11">
      <c r="A51" s="638">
        <v>3.21</v>
      </c>
      <c r="B51" s="473" t="s">
        <v>745</v>
      </c>
      <c r="C51" s="473">
        <v>28.69</v>
      </c>
      <c r="D51" s="356">
        <v>0</v>
      </c>
      <c r="E51" s="443">
        <v>0</v>
      </c>
      <c r="F51" s="443">
        <f t="shared" si="2"/>
        <v>0</v>
      </c>
      <c r="G51" s="443"/>
      <c r="H51" s="443">
        <f t="shared" si="3"/>
        <v>28.7</v>
      </c>
      <c r="I51" s="443">
        <v>28.7</v>
      </c>
      <c r="J51" s="443">
        <v>0</v>
      </c>
      <c r="K51" s="1302">
        <f t="shared" si="1"/>
        <v>28.7</v>
      </c>
    </row>
    <row r="52" spans="1:11" ht="36">
      <c r="A52" s="211">
        <v>3.22</v>
      </c>
      <c r="B52" s="205" t="s">
        <v>551</v>
      </c>
      <c r="C52" s="205">
        <f>SUM(C31:C51)</f>
        <v>1085.49</v>
      </c>
      <c r="D52" s="442">
        <f>SUM(D31:D51)</f>
        <v>706.95999999999992</v>
      </c>
      <c r="E52" s="442">
        <f t="shared" ref="E52:J52" si="4">SUM(E31:E51)</f>
        <v>721.31</v>
      </c>
      <c r="F52" s="442">
        <f t="shared" si="4"/>
        <v>103.94000000000001</v>
      </c>
      <c r="G52" s="489">
        <f t="shared" si="4"/>
        <v>825.25</v>
      </c>
      <c r="H52" s="442">
        <f t="shared" si="4"/>
        <v>205.39</v>
      </c>
      <c r="I52" s="442">
        <f t="shared" si="4"/>
        <v>1030.6400000000001</v>
      </c>
      <c r="J52" s="442">
        <f t="shared" si="4"/>
        <v>54.860000000000014</v>
      </c>
      <c r="K52" s="1303">
        <f t="shared" si="1"/>
        <v>1085.5</v>
      </c>
    </row>
    <row r="53" spans="1:11">
      <c r="A53" s="211">
        <v>4</v>
      </c>
      <c r="B53" s="222" t="s">
        <v>552</v>
      </c>
      <c r="C53" s="222"/>
      <c r="D53" s="353"/>
      <c r="E53" s="222"/>
      <c r="F53" s="222"/>
      <c r="G53" s="222"/>
      <c r="H53" s="222"/>
      <c r="I53" s="222"/>
      <c r="J53" s="222"/>
      <c r="K53" s="375"/>
    </row>
    <row r="54" spans="1:11">
      <c r="A54" s="336">
        <v>4.0999999999999996</v>
      </c>
      <c r="B54" s="369" t="s">
        <v>553</v>
      </c>
      <c r="C54" s="369">
        <v>5</v>
      </c>
      <c r="D54" s="443">
        <v>11.32</v>
      </c>
      <c r="E54" s="443">
        <v>11.32</v>
      </c>
      <c r="F54" s="1301">
        <f t="shared" ref="F54:F63" si="5">G54-E54</f>
        <v>2.4699999999999989</v>
      </c>
      <c r="G54" s="1301">
        <v>13.79</v>
      </c>
      <c r="H54" s="1301">
        <f t="shared" ref="H54:H63" si="6">I54-G54</f>
        <v>2.41</v>
      </c>
      <c r="I54" s="1301">
        <v>16.2</v>
      </c>
      <c r="J54" s="1301">
        <f t="shared" ref="J54:J63" si="7">C54-E54-F54-H54</f>
        <v>-11.2</v>
      </c>
      <c r="K54" s="365">
        <f t="shared" si="1"/>
        <v>5</v>
      </c>
    </row>
    <row r="55" spans="1:11" ht="24">
      <c r="A55" s="336">
        <v>4.2</v>
      </c>
      <c r="B55" s="369" t="s">
        <v>555</v>
      </c>
      <c r="C55" s="369">
        <v>94</v>
      </c>
      <c r="D55" s="443">
        <v>69.8</v>
      </c>
      <c r="E55" s="443">
        <v>69.8</v>
      </c>
      <c r="F55" s="1301">
        <f t="shared" si="5"/>
        <v>20.090000000000003</v>
      </c>
      <c r="G55" s="1301">
        <v>89.89</v>
      </c>
      <c r="H55" s="1301">
        <f t="shared" si="6"/>
        <v>-1.1599999999999966</v>
      </c>
      <c r="I55" s="1301">
        <v>88.73</v>
      </c>
      <c r="J55" s="1301">
        <f t="shared" si="7"/>
        <v>5.269999999999996</v>
      </c>
      <c r="K55" s="365">
        <f t="shared" si="1"/>
        <v>94</v>
      </c>
    </row>
    <row r="56" spans="1:11" ht="24">
      <c r="A56" s="336">
        <v>4.3</v>
      </c>
      <c r="B56" s="369" t="s">
        <v>557</v>
      </c>
      <c r="C56" s="369">
        <v>120</v>
      </c>
      <c r="D56" s="443">
        <v>107.77</v>
      </c>
      <c r="E56" s="443">
        <v>109.73</v>
      </c>
      <c r="F56" s="1301">
        <f t="shared" si="5"/>
        <v>5.2000000000000028</v>
      </c>
      <c r="G56" s="1301">
        <v>114.93</v>
      </c>
      <c r="H56" s="1301">
        <f t="shared" si="6"/>
        <v>4.5099999999999909</v>
      </c>
      <c r="I56" s="1301">
        <v>119.44</v>
      </c>
      <c r="J56" s="1301">
        <f t="shared" si="7"/>
        <v>0.56000000000000227</v>
      </c>
      <c r="K56" s="365">
        <f t="shared" si="1"/>
        <v>120</v>
      </c>
    </row>
    <row r="57" spans="1:11">
      <c r="A57" s="336">
        <v>4.4000000000000004</v>
      </c>
      <c r="B57" s="369" t="s">
        <v>559</v>
      </c>
      <c r="C57" s="369">
        <v>41</v>
      </c>
      <c r="D57" s="443">
        <v>38.69</v>
      </c>
      <c r="E57" s="443">
        <v>40.78</v>
      </c>
      <c r="F57" s="1301">
        <f t="shared" si="5"/>
        <v>-0.57999999999999829</v>
      </c>
      <c r="G57" s="1301">
        <v>40.200000000000003</v>
      </c>
      <c r="H57" s="1301">
        <f t="shared" si="6"/>
        <v>0</v>
      </c>
      <c r="I57" s="1301">
        <v>40.200000000000003</v>
      </c>
      <c r="J57" s="1301">
        <f t="shared" si="7"/>
        <v>0.79999999999999716</v>
      </c>
      <c r="K57" s="365">
        <f t="shared" si="1"/>
        <v>41</v>
      </c>
    </row>
    <row r="58" spans="1:11">
      <c r="A58" s="336">
        <v>4.5</v>
      </c>
      <c r="B58" s="369" t="s">
        <v>560</v>
      </c>
      <c r="C58" s="369">
        <v>2</v>
      </c>
      <c r="D58" s="356">
        <v>0</v>
      </c>
      <c r="E58" s="443">
        <v>0</v>
      </c>
      <c r="F58" s="1301">
        <f t="shared" si="5"/>
        <v>0</v>
      </c>
      <c r="G58" s="1301">
        <v>0</v>
      </c>
      <c r="H58" s="1301">
        <f t="shared" si="6"/>
        <v>0</v>
      </c>
      <c r="I58" s="1301">
        <v>0</v>
      </c>
      <c r="J58" s="1301">
        <f t="shared" si="7"/>
        <v>2</v>
      </c>
      <c r="K58" s="365">
        <f t="shared" si="1"/>
        <v>2</v>
      </c>
    </row>
    <row r="59" spans="1:11" ht="24">
      <c r="A59" s="336">
        <v>4.5999999999999996</v>
      </c>
      <c r="B59" s="369" t="s">
        <v>561</v>
      </c>
      <c r="C59" s="369"/>
      <c r="D59" s="356">
        <v>0</v>
      </c>
      <c r="E59" s="443">
        <v>0</v>
      </c>
      <c r="F59" s="1301">
        <f t="shared" si="5"/>
        <v>2.96</v>
      </c>
      <c r="G59" s="1301">
        <v>2.96</v>
      </c>
      <c r="H59" s="1301">
        <f t="shared" si="6"/>
        <v>0</v>
      </c>
      <c r="I59" s="1301">
        <v>2.96</v>
      </c>
      <c r="J59" s="1301">
        <f t="shared" si="7"/>
        <v>-2.96</v>
      </c>
      <c r="K59" s="365">
        <f t="shared" si="1"/>
        <v>0</v>
      </c>
    </row>
    <row r="60" spans="1:11">
      <c r="A60" s="336">
        <v>4.7</v>
      </c>
      <c r="B60" s="369" t="s">
        <v>562</v>
      </c>
      <c r="C60" s="369"/>
      <c r="D60" s="356">
        <v>0</v>
      </c>
      <c r="E60" s="443">
        <v>0</v>
      </c>
      <c r="F60" s="1301">
        <f t="shared" si="5"/>
        <v>0</v>
      </c>
      <c r="G60" s="1301">
        <v>0</v>
      </c>
      <c r="H60" s="1301">
        <f t="shared" si="6"/>
        <v>0</v>
      </c>
      <c r="I60" s="1301">
        <v>0</v>
      </c>
      <c r="J60" s="1301">
        <f t="shared" si="7"/>
        <v>0</v>
      </c>
      <c r="K60" s="365">
        <f t="shared" si="1"/>
        <v>0</v>
      </c>
    </row>
    <row r="61" spans="1:11" ht="24">
      <c r="A61" s="336">
        <v>4.8</v>
      </c>
      <c r="B61" s="369" t="s">
        <v>563</v>
      </c>
      <c r="C61" s="369">
        <v>1</v>
      </c>
      <c r="D61" s="356">
        <v>0</v>
      </c>
      <c r="E61" s="443">
        <v>0</v>
      </c>
      <c r="F61" s="1301">
        <f t="shared" si="5"/>
        <v>0.5</v>
      </c>
      <c r="G61" s="1301">
        <v>0.5</v>
      </c>
      <c r="H61" s="1301">
        <f t="shared" si="6"/>
        <v>0</v>
      </c>
      <c r="I61" s="1301">
        <v>0.5</v>
      </c>
      <c r="J61" s="1301">
        <f t="shared" si="7"/>
        <v>0.5</v>
      </c>
      <c r="K61" s="365">
        <f t="shared" si="1"/>
        <v>1</v>
      </c>
    </row>
    <row r="62" spans="1:11" ht="19.5" customHeight="1">
      <c r="A62" s="336">
        <v>4.9000000000000004</v>
      </c>
      <c r="B62" s="369" t="s">
        <v>564</v>
      </c>
      <c r="C62" s="369">
        <v>1264.3399999999999</v>
      </c>
      <c r="D62" s="356">
        <v>1231.73</v>
      </c>
      <c r="E62" s="443">
        <v>1264.3399999999999</v>
      </c>
      <c r="F62" s="1301">
        <f t="shared" si="5"/>
        <v>16.6400000000001</v>
      </c>
      <c r="G62" s="1301">
        <v>1280.98</v>
      </c>
      <c r="H62" s="1301">
        <f t="shared" si="6"/>
        <v>21.549999999999955</v>
      </c>
      <c r="I62" s="1301">
        <v>1302.53</v>
      </c>
      <c r="J62" s="1301">
        <f t="shared" si="7"/>
        <v>-38.190000000000055</v>
      </c>
      <c r="K62" s="365">
        <f t="shared" si="1"/>
        <v>1264.3399999999999</v>
      </c>
    </row>
    <row r="63" spans="1:11" ht="19.5" customHeight="1">
      <c r="A63" s="343">
        <v>4.0999999999999996</v>
      </c>
      <c r="B63" s="369" t="s">
        <v>746</v>
      </c>
      <c r="C63" s="369">
        <v>17</v>
      </c>
      <c r="D63" s="356">
        <v>18.149999999999999</v>
      </c>
      <c r="E63" s="443">
        <v>20.9</v>
      </c>
      <c r="F63" s="1301">
        <f t="shared" si="5"/>
        <v>-4</v>
      </c>
      <c r="G63" s="1301">
        <v>16.899999999999999</v>
      </c>
      <c r="H63" s="1301">
        <f t="shared" si="6"/>
        <v>0.10000000000000142</v>
      </c>
      <c r="I63" s="1301">
        <v>17</v>
      </c>
      <c r="J63" s="1301">
        <f t="shared" si="7"/>
        <v>0</v>
      </c>
      <c r="K63" s="365">
        <f t="shared" si="1"/>
        <v>17</v>
      </c>
    </row>
    <row r="64" spans="1:11">
      <c r="A64" s="451" t="s">
        <v>856</v>
      </c>
      <c r="B64" s="333" t="s">
        <v>565</v>
      </c>
      <c r="C64" s="333">
        <f t="shared" ref="C64:J64" si="8">SUM(C54:C63)</f>
        <v>1544.34</v>
      </c>
      <c r="D64" s="442">
        <f t="shared" si="8"/>
        <v>1477.46</v>
      </c>
      <c r="E64" s="442">
        <f t="shared" si="8"/>
        <v>1516.8700000000001</v>
      </c>
      <c r="F64" s="442">
        <f t="shared" si="8"/>
        <v>43.280000000000108</v>
      </c>
      <c r="G64" s="442">
        <f t="shared" si="8"/>
        <v>1560.15</v>
      </c>
      <c r="H64" s="442">
        <f t="shared" si="8"/>
        <v>27.40999999999995</v>
      </c>
      <c r="I64" s="442">
        <f t="shared" si="8"/>
        <v>1587.56</v>
      </c>
      <c r="J64" s="353">
        <f t="shared" si="8"/>
        <v>-43.220000000000056</v>
      </c>
      <c r="K64" s="366">
        <f t="shared" si="1"/>
        <v>1544.34</v>
      </c>
    </row>
    <row r="65" spans="1:11" ht="24">
      <c r="A65" s="211">
        <v>5</v>
      </c>
      <c r="B65" s="333" t="s">
        <v>566</v>
      </c>
      <c r="C65" s="333">
        <f t="shared" ref="C65:J65" si="9">C21+C29+C52+C64</f>
        <v>8584.33</v>
      </c>
      <c r="D65" s="442">
        <f t="shared" si="9"/>
        <v>7771.63</v>
      </c>
      <c r="E65" s="442">
        <f t="shared" si="9"/>
        <v>7884.6799999999994</v>
      </c>
      <c r="F65" s="442">
        <f t="shared" si="9"/>
        <v>149.96000000000046</v>
      </c>
      <c r="G65" s="442">
        <f t="shared" si="9"/>
        <v>8034.6400000000012</v>
      </c>
      <c r="H65" s="442">
        <f t="shared" si="9"/>
        <v>333.11999999999989</v>
      </c>
      <c r="I65" s="442">
        <f t="shared" si="9"/>
        <v>8367.76</v>
      </c>
      <c r="J65" s="442">
        <f t="shared" si="9"/>
        <v>216.57999999999967</v>
      </c>
      <c r="K65" s="218">
        <f t="shared" si="1"/>
        <v>8584.34</v>
      </c>
    </row>
    <row r="66" spans="1:11">
      <c r="A66" s="213"/>
      <c r="B66" s="207"/>
      <c r="C66" s="207"/>
      <c r="D66" s="357"/>
      <c r="E66" s="207"/>
      <c r="F66" s="1513"/>
      <c r="G66" s="1513"/>
      <c r="H66" s="1513"/>
      <c r="I66" s="1513"/>
      <c r="J66" s="1513"/>
      <c r="K66" s="198"/>
    </row>
    <row r="67" spans="1:11">
      <c r="A67" s="478"/>
      <c r="B67" s="806" t="s">
        <v>567</v>
      </c>
      <c r="C67" s="193"/>
      <c r="D67" s="357"/>
      <c r="E67" s="207"/>
      <c r="F67" s="1513"/>
      <c r="G67" s="1513"/>
      <c r="H67" s="1513"/>
      <c r="I67" s="1513"/>
      <c r="J67" s="1513"/>
      <c r="K67" s="198"/>
    </row>
    <row r="68" spans="1:11" ht="31.9" customHeight="1">
      <c r="A68" s="1512"/>
      <c r="B68" s="1564" t="s">
        <v>1374</v>
      </c>
      <c r="C68" s="1564"/>
      <c r="D68" s="1564"/>
      <c r="E68" s="1564"/>
      <c r="F68" s="1564"/>
      <c r="G68" s="1564"/>
      <c r="H68" s="1564"/>
      <c r="I68" s="1564"/>
      <c r="J68" s="1564"/>
      <c r="K68" s="198"/>
    </row>
    <row r="69" spans="1:11" ht="36.6" customHeight="1">
      <c r="A69" s="1512"/>
      <c r="B69" s="1564" t="s">
        <v>1375</v>
      </c>
      <c r="C69" s="1564"/>
      <c r="D69" s="1564"/>
      <c r="E69" s="1564"/>
      <c r="F69" s="1564"/>
      <c r="G69" s="1564"/>
      <c r="H69" s="1564"/>
      <c r="I69" s="1564"/>
      <c r="J69" s="1564"/>
      <c r="K69" s="198"/>
    </row>
    <row r="70" spans="1:11">
      <c r="A70" s="478"/>
      <c r="D70" s="621"/>
      <c r="E70" s="215"/>
      <c r="F70" s="215"/>
      <c r="G70" s="215"/>
      <c r="H70" s="215"/>
      <c r="I70" s="215"/>
      <c r="J70" s="215"/>
      <c r="K70" s="198"/>
    </row>
    <row r="71" spans="1:11">
      <c r="A71" s="196"/>
      <c r="K71" s="198"/>
    </row>
    <row r="72" spans="1:11">
      <c r="A72" s="196"/>
      <c r="F72" s="215"/>
      <c r="G72" s="215"/>
      <c r="K72" s="198"/>
    </row>
    <row r="73" spans="1:11" ht="15.75" thickBot="1">
      <c r="A73" s="199"/>
      <c r="B73" s="191"/>
      <c r="C73" s="191"/>
      <c r="D73" s="358"/>
      <c r="E73" s="191"/>
      <c r="F73" s="191"/>
      <c r="G73" s="191"/>
      <c r="H73" s="191"/>
      <c r="I73" s="191"/>
      <c r="J73" s="191"/>
      <c r="K73" s="214"/>
    </row>
    <row r="77" spans="1:11">
      <c r="I77" s="190">
        <f>I65-I41-I39</f>
        <v>7822.3600000000006</v>
      </c>
    </row>
    <row r="79" spans="1:11" ht="14.45" customHeight="1"/>
    <row r="81" spans="9:9">
      <c r="I81" s="190">
        <f>G64+1.54</f>
        <v>1561.69</v>
      </c>
    </row>
    <row r="83" spans="9:9" ht="14.45" customHeight="1"/>
    <row r="92" spans="9:9" ht="14.45" customHeight="1"/>
  </sheetData>
  <mergeCells count="23">
    <mergeCell ref="K10:K11"/>
    <mergeCell ref="A10:A11"/>
    <mergeCell ref="B10:B11"/>
    <mergeCell ref="D10:D11"/>
    <mergeCell ref="E10:E11"/>
    <mergeCell ref="F10:F11"/>
    <mergeCell ref="H10:H11"/>
    <mergeCell ref="J10:J11"/>
    <mergeCell ref="C10:C11"/>
    <mergeCell ref="G10:G11"/>
    <mergeCell ref="I10:I11"/>
    <mergeCell ref="A5:K5"/>
    <mergeCell ref="A7:D7"/>
    <mergeCell ref="A8:D8"/>
    <mergeCell ref="E7:I7"/>
    <mergeCell ref="E8:I8"/>
    <mergeCell ref="B22:K22"/>
    <mergeCell ref="B30:K30"/>
    <mergeCell ref="A68:A69"/>
    <mergeCell ref="B68:J68"/>
    <mergeCell ref="B69:J69"/>
    <mergeCell ref="F66:J66"/>
    <mergeCell ref="F67:J67"/>
  </mergeCells>
  <pageMargins left="0.70866141732283472" right="0.70866141732283472" top="0.74803149606299213" bottom="0.74803149606299213" header="0.31496062992125984" footer="0.31496062992125984"/>
  <pageSetup paperSize="9" scale="55" fitToHeight="2" orientation="landscape" horizontalDpi="4294967293" r:id="rId1"/>
  <legacyDrawing r:id="rId2"/>
</worksheet>
</file>

<file path=xl/worksheets/sheet11.xml><?xml version="1.0" encoding="utf-8"?>
<worksheet xmlns="http://schemas.openxmlformats.org/spreadsheetml/2006/main" xmlns:r="http://schemas.openxmlformats.org/officeDocument/2006/relationships">
  <sheetPr>
    <tabColor theme="5" tint="-0.249977111117893"/>
    <pageSetUpPr fitToPage="1"/>
  </sheetPr>
  <dimension ref="A1:Q124"/>
  <sheetViews>
    <sheetView topLeftCell="A55" workbookViewId="0">
      <selection activeCell="I58" sqref="I58:M59"/>
    </sheetView>
  </sheetViews>
  <sheetFormatPr defaultColWidth="9.33203125" defaultRowHeight="15"/>
  <cols>
    <col min="1" max="1" width="15.5" style="190" customWidth="1"/>
    <col min="2" max="2" width="18" style="190" customWidth="1"/>
    <col min="3" max="3" width="18" style="190" hidden="1" customWidth="1"/>
    <col min="4" max="4" width="14" style="190" hidden="1" customWidth="1"/>
    <col min="5" max="5" width="13.5" style="190" hidden="1" customWidth="1"/>
    <col min="6" max="6" width="10.1640625" style="190" hidden="1" customWidth="1"/>
    <col min="7" max="7" width="23.83203125" style="190" hidden="1" customWidth="1"/>
    <col min="8" max="8" width="22.6640625" style="344" hidden="1" customWidth="1"/>
    <col min="9" max="9" width="19" style="190" customWidth="1"/>
    <col min="10" max="11" width="15.33203125" style="190" customWidth="1"/>
    <col min="12" max="12" width="16.5" style="190" customWidth="1"/>
    <col min="13" max="13" width="17.5" style="190" customWidth="1"/>
    <col min="14" max="16384" width="9.33203125" style="190"/>
  </cols>
  <sheetData>
    <row r="1" spans="1:17" ht="15.75" thickBot="1"/>
    <row r="2" spans="1:17">
      <c r="A2" s="194"/>
      <c r="B2" s="195"/>
      <c r="C2" s="195"/>
      <c r="D2" s="195"/>
      <c r="E2" s="195"/>
      <c r="F2" s="195"/>
      <c r="G2" s="195"/>
      <c r="H2" s="352"/>
      <c r="I2" s="195"/>
      <c r="J2" s="195"/>
      <c r="K2" s="195"/>
      <c r="L2" s="195"/>
      <c r="M2" s="217" t="s">
        <v>414</v>
      </c>
    </row>
    <row r="3" spans="1:17" ht="15.75">
      <c r="A3" s="196"/>
      <c r="M3" s="219" t="s">
        <v>570</v>
      </c>
    </row>
    <row r="4" spans="1:17">
      <c r="A4" s="196"/>
      <c r="M4" s="198"/>
    </row>
    <row r="5" spans="1:17" ht="18">
      <c r="A5" s="1565" t="s">
        <v>569</v>
      </c>
      <c r="B5" s="1574"/>
      <c r="C5" s="1574"/>
      <c r="D5" s="1574"/>
      <c r="E5" s="1574"/>
      <c r="F5" s="1574"/>
      <c r="G5" s="1574"/>
      <c r="H5" s="1574"/>
      <c r="I5" s="1574"/>
      <c r="J5" s="1574"/>
      <c r="K5" s="1574"/>
      <c r="L5" s="1574"/>
      <c r="M5" s="198"/>
    </row>
    <row r="6" spans="1:17">
      <c r="A6" s="208"/>
      <c r="B6" s="200"/>
      <c r="C6" s="200"/>
      <c r="D6" s="200"/>
      <c r="E6" s="200"/>
      <c r="F6" s="200"/>
      <c r="G6" s="200"/>
      <c r="H6" s="200"/>
      <c r="I6" s="200"/>
      <c r="J6" s="200"/>
      <c r="K6" s="200"/>
      <c r="L6" s="200"/>
      <c r="M6" s="198"/>
    </row>
    <row r="7" spans="1:17" ht="19.899999999999999" customHeight="1">
      <c r="A7" s="1575" t="s">
        <v>498</v>
      </c>
      <c r="B7" s="1576"/>
      <c r="C7" s="440"/>
      <c r="D7" s="1577" t="s">
        <v>464</v>
      </c>
      <c r="E7" s="1577"/>
      <c r="F7" s="1577"/>
      <c r="G7" s="1577"/>
      <c r="H7" s="1577"/>
      <c r="I7" s="1577"/>
      <c r="J7" s="1577"/>
      <c r="K7" s="1577"/>
      <c r="L7" s="1577"/>
      <c r="M7" s="198"/>
    </row>
    <row r="8" spans="1:17" ht="16.899999999999999" customHeight="1">
      <c r="A8" s="1575" t="s">
        <v>499</v>
      </c>
      <c r="B8" s="1576"/>
      <c r="C8" s="440"/>
      <c r="D8" s="1577" t="s">
        <v>461</v>
      </c>
      <c r="E8" s="1577"/>
      <c r="F8" s="1577"/>
      <c r="G8" s="1577"/>
      <c r="H8" s="1577"/>
      <c r="I8" s="1577"/>
      <c r="J8" s="1577"/>
      <c r="K8" s="1577"/>
      <c r="L8" s="1577"/>
    </row>
    <row r="9" spans="1:17" ht="19.5" customHeight="1" thickBot="1">
      <c r="A9" s="192"/>
      <c r="B9" s="192"/>
      <c r="C9" s="192"/>
      <c r="D9" s="335"/>
      <c r="E9" s="335"/>
      <c r="F9" s="335"/>
      <c r="G9" s="335"/>
      <c r="H9" s="335"/>
      <c r="I9" s="335"/>
      <c r="J9" s="335"/>
      <c r="K9" s="335"/>
      <c r="M9" s="335" t="s">
        <v>504</v>
      </c>
    </row>
    <row r="10" spans="1:17" ht="41.45" customHeight="1">
      <c r="A10" s="475" t="s">
        <v>417</v>
      </c>
      <c r="B10" s="476" t="s">
        <v>481</v>
      </c>
      <c r="C10" s="476" t="s">
        <v>751</v>
      </c>
      <c r="D10" s="1578" t="s">
        <v>748</v>
      </c>
      <c r="E10" s="1578"/>
      <c r="F10" s="476" t="s">
        <v>502</v>
      </c>
      <c r="G10" s="476" t="s">
        <v>503</v>
      </c>
      <c r="H10" s="476" t="s">
        <v>814</v>
      </c>
      <c r="I10" s="476" t="s">
        <v>815</v>
      </c>
      <c r="J10" s="383" t="s">
        <v>749</v>
      </c>
      <c r="K10" s="383" t="s">
        <v>750</v>
      </c>
      <c r="L10" s="383" t="s">
        <v>747</v>
      </c>
      <c r="M10" s="463" t="s">
        <v>458</v>
      </c>
      <c r="P10" s="1573"/>
      <c r="Q10" s="1573"/>
    </row>
    <row r="11" spans="1:17">
      <c r="A11" s="220">
        <v>-1</v>
      </c>
      <c r="B11" s="332">
        <v>-2</v>
      </c>
      <c r="C11" s="332">
        <v>-3</v>
      </c>
      <c r="D11" s="332">
        <v>-4</v>
      </c>
      <c r="E11" s="332">
        <v>-5</v>
      </c>
      <c r="F11" s="332">
        <v>-6</v>
      </c>
      <c r="G11" s="332">
        <v>-7</v>
      </c>
      <c r="H11" s="332">
        <v>-8</v>
      </c>
      <c r="I11" s="332">
        <v>-3</v>
      </c>
      <c r="J11" s="332">
        <v>-4</v>
      </c>
      <c r="K11" s="332">
        <v>-5</v>
      </c>
      <c r="L11" s="332">
        <v>-6</v>
      </c>
      <c r="M11" s="221">
        <v>-7</v>
      </c>
    </row>
    <row r="12" spans="1:17">
      <c r="A12" s="211">
        <v>1</v>
      </c>
      <c r="B12" s="222" t="s">
        <v>505</v>
      </c>
      <c r="C12" s="222"/>
      <c r="D12" s="222"/>
      <c r="E12" s="222"/>
      <c r="F12" s="222"/>
      <c r="G12" s="222"/>
      <c r="H12" s="353"/>
      <c r="I12" s="222"/>
      <c r="J12" s="222"/>
      <c r="K12" s="222"/>
      <c r="L12" s="222"/>
      <c r="M12" s="375"/>
    </row>
    <row r="13" spans="1:17">
      <c r="A13" s="336">
        <v>1.1000000000000001</v>
      </c>
      <c r="B13" s="369" t="s">
        <v>506</v>
      </c>
      <c r="C13" s="369">
        <v>2985.56</v>
      </c>
      <c r="D13" s="369">
        <v>2998</v>
      </c>
      <c r="E13" s="201"/>
      <c r="F13" s="443"/>
      <c r="G13" s="1527" t="s">
        <v>507</v>
      </c>
      <c r="H13" s="443"/>
      <c r="I13" s="333"/>
      <c r="J13" s="333"/>
      <c r="K13" s="333"/>
      <c r="L13" s="443"/>
      <c r="M13" s="375"/>
    </row>
    <row r="14" spans="1:17">
      <c r="A14" s="336">
        <v>1.2</v>
      </c>
      <c r="B14" s="369" t="s">
        <v>508</v>
      </c>
      <c r="C14" s="369">
        <v>388.03</v>
      </c>
      <c r="D14" s="337">
        <v>388</v>
      </c>
      <c r="E14" s="337"/>
      <c r="F14" s="443"/>
      <c r="G14" s="1527"/>
      <c r="H14" s="443"/>
      <c r="I14" s="443"/>
      <c r="J14" s="443"/>
      <c r="K14" s="443"/>
      <c r="L14" s="443"/>
      <c r="M14" s="375"/>
    </row>
    <row r="15" spans="1:17">
      <c r="A15" s="336">
        <v>1.3</v>
      </c>
      <c r="B15" s="369" t="s">
        <v>509</v>
      </c>
      <c r="C15" s="369">
        <v>75.7</v>
      </c>
      <c r="D15" s="337">
        <v>76</v>
      </c>
      <c r="E15" s="337"/>
      <c r="F15" s="443"/>
      <c r="G15" s="1527"/>
      <c r="H15" s="443"/>
      <c r="I15" s="443"/>
      <c r="J15" s="443"/>
      <c r="K15" s="443"/>
      <c r="L15" s="444"/>
      <c r="M15" s="375"/>
    </row>
    <row r="16" spans="1:17">
      <c r="A16" s="336">
        <v>1.4</v>
      </c>
      <c r="B16" s="369" t="s">
        <v>510</v>
      </c>
      <c r="C16" s="369">
        <v>610</v>
      </c>
      <c r="D16" s="337">
        <v>610</v>
      </c>
      <c r="E16" s="337"/>
      <c r="F16" s="443"/>
      <c r="G16" s="1527"/>
      <c r="H16" s="443"/>
      <c r="I16" s="443"/>
      <c r="J16" s="443"/>
      <c r="K16" s="443"/>
      <c r="L16" s="443"/>
      <c r="M16" s="375"/>
    </row>
    <row r="17" spans="1:13">
      <c r="A17" s="336">
        <v>1.5</v>
      </c>
      <c r="B17" s="369" t="s">
        <v>511</v>
      </c>
      <c r="C17" s="369">
        <f>SUM(C13:C16)</f>
        <v>4059.29</v>
      </c>
      <c r="D17" s="337">
        <v>4072</v>
      </c>
      <c r="E17" s="201"/>
      <c r="F17" s="443"/>
      <c r="G17" s="1527"/>
      <c r="H17" s="443"/>
      <c r="I17" s="443"/>
      <c r="J17" s="443"/>
      <c r="K17" s="443"/>
      <c r="L17" s="443"/>
      <c r="M17" s="375"/>
    </row>
    <row r="18" spans="1:13">
      <c r="A18" s="336">
        <v>1.6</v>
      </c>
      <c r="B18" s="369" t="s">
        <v>512</v>
      </c>
      <c r="C18" s="369">
        <v>775</v>
      </c>
      <c r="D18" s="337">
        <v>706</v>
      </c>
      <c r="E18" s="337"/>
      <c r="F18" s="443"/>
      <c r="G18" s="1527"/>
      <c r="H18" s="443"/>
      <c r="I18" s="443"/>
      <c r="J18" s="443"/>
      <c r="K18" s="443"/>
      <c r="L18" s="443"/>
      <c r="M18" s="375"/>
    </row>
    <row r="19" spans="1:13" ht="24">
      <c r="A19" s="336">
        <v>1.7</v>
      </c>
      <c r="B19" s="369" t="s">
        <v>513</v>
      </c>
      <c r="C19" s="369">
        <v>100.21</v>
      </c>
      <c r="D19" s="337">
        <v>100</v>
      </c>
      <c r="E19" s="337"/>
      <c r="F19" s="443"/>
      <c r="G19" s="1527"/>
      <c r="H19" s="443"/>
      <c r="I19" s="443"/>
      <c r="J19" s="443"/>
      <c r="K19" s="443"/>
      <c r="L19" s="443"/>
      <c r="M19" s="375"/>
    </row>
    <row r="20" spans="1:13">
      <c r="A20" s="211">
        <v>1.8</v>
      </c>
      <c r="B20" s="333" t="s">
        <v>514</v>
      </c>
      <c r="C20" s="333">
        <f>C17+C18+C19</f>
        <v>4934.5</v>
      </c>
      <c r="D20" s="202">
        <f>D17+D18+D19</f>
        <v>4878</v>
      </c>
      <c r="E20" s="202">
        <f>I20+J20+K20+L20</f>
        <v>4463.4399999999996</v>
      </c>
      <c r="F20" s="203">
        <f>C20-E20</f>
        <v>471.0600000000004</v>
      </c>
      <c r="G20" s="1527"/>
      <c r="H20" s="442">
        <v>4749.95</v>
      </c>
      <c r="I20" s="442">
        <v>4366.9799999999996</v>
      </c>
      <c r="J20" s="442">
        <v>27.72</v>
      </c>
      <c r="K20" s="442">
        <v>0</v>
      </c>
      <c r="L20" s="338">
        <v>68.739999999999995</v>
      </c>
      <c r="M20" s="456">
        <f>I20+J20+K20+L20</f>
        <v>4463.4399999999996</v>
      </c>
    </row>
    <row r="21" spans="1:13">
      <c r="A21" s="211">
        <v>2</v>
      </c>
      <c r="B21" s="458" t="s">
        <v>515</v>
      </c>
      <c r="C21" s="458"/>
      <c r="D21" s="458"/>
      <c r="E21" s="458"/>
      <c r="F21" s="458"/>
      <c r="G21" s="458"/>
      <c r="H21" s="353"/>
      <c r="I21" s="458"/>
      <c r="J21" s="458"/>
      <c r="K21" s="458"/>
      <c r="L21" s="458"/>
      <c r="M21" s="464"/>
    </row>
    <row r="22" spans="1:13" ht="24">
      <c r="A22" s="336">
        <v>2.1</v>
      </c>
      <c r="B22" s="369" t="s">
        <v>516</v>
      </c>
      <c r="C22" s="369">
        <v>490</v>
      </c>
      <c r="D22" s="337">
        <v>490</v>
      </c>
      <c r="E22" s="337"/>
      <c r="F22" s="443"/>
      <c r="G22" s="1527" t="s">
        <v>517</v>
      </c>
      <c r="H22" s="443"/>
      <c r="I22" s="443"/>
      <c r="J22" s="443"/>
      <c r="K22" s="443"/>
      <c r="L22" s="443"/>
      <c r="M22" s="334"/>
    </row>
    <row r="23" spans="1:13">
      <c r="A23" s="336">
        <v>2.2000000000000002</v>
      </c>
      <c r="B23" s="369" t="s">
        <v>518</v>
      </c>
      <c r="C23" s="369">
        <v>340</v>
      </c>
      <c r="D23" s="337">
        <v>340</v>
      </c>
      <c r="E23" s="337"/>
      <c r="F23" s="443"/>
      <c r="G23" s="1527"/>
      <c r="H23" s="443"/>
      <c r="I23" s="443"/>
      <c r="J23" s="443"/>
      <c r="K23" s="443"/>
      <c r="L23" s="443"/>
      <c r="M23" s="334"/>
    </row>
    <row r="24" spans="1:13">
      <c r="A24" s="336">
        <v>2.2999999999999998</v>
      </c>
      <c r="B24" s="369" t="s">
        <v>519</v>
      </c>
      <c r="C24" s="369">
        <v>140</v>
      </c>
      <c r="D24" s="337">
        <v>140</v>
      </c>
      <c r="E24" s="337"/>
      <c r="F24" s="443"/>
      <c r="G24" s="1527"/>
      <c r="H24" s="443"/>
      <c r="I24" s="443"/>
      <c r="J24" s="443"/>
      <c r="K24" s="443"/>
      <c r="L24" s="443"/>
      <c r="M24" s="334"/>
    </row>
    <row r="25" spans="1:13">
      <c r="A25" s="336">
        <v>2.4</v>
      </c>
      <c r="B25" s="369" t="s">
        <v>520</v>
      </c>
      <c r="C25" s="369">
        <v>3</v>
      </c>
      <c r="D25" s="337">
        <v>3</v>
      </c>
      <c r="E25" s="337"/>
      <c r="F25" s="443"/>
      <c r="G25" s="1527"/>
      <c r="H25" s="443"/>
      <c r="I25" s="443"/>
      <c r="J25" s="443"/>
      <c r="K25" s="443"/>
      <c r="L25" s="443"/>
      <c r="M25" s="334"/>
    </row>
    <row r="26" spans="1:13">
      <c r="A26" s="336">
        <v>2.5</v>
      </c>
      <c r="B26" s="369" t="s">
        <v>511</v>
      </c>
      <c r="C26" s="369">
        <v>973</v>
      </c>
      <c r="D26" s="337">
        <v>973</v>
      </c>
      <c r="E26" s="337"/>
      <c r="F26" s="443"/>
      <c r="G26" s="1527"/>
      <c r="H26" s="443"/>
      <c r="I26" s="443"/>
      <c r="J26" s="443"/>
      <c r="K26" s="443"/>
      <c r="L26" s="443"/>
      <c r="M26" s="334"/>
    </row>
    <row r="27" spans="1:13">
      <c r="A27" s="336">
        <v>2.6</v>
      </c>
      <c r="B27" s="369" t="s">
        <v>521</v>
      </c>
      <c r="C27" s="369">
        <f>65-18</f>
        <v>47</v>
      </c>
      <c r="D27" s="337">
        <v>65</v>
      </c>
      <c r="E27" s="337"/>
      <c r="F27" s="443"/>
      <c r="G27" s="1527"/>
      <c r="H27" s="443"/>
      <c r="I27" s="443"/>
      <c r="J27" s="443"/>
      <c r="K27" s="443"/>
      <c r="L27" s="443"/>
      <c r="M27" s="334"/>
    </row>
    <row r="28" spans="1:13">
      <c r="A28" s="211">
        <v>2.7</v>
      </c>
      <c r="B28" s="333" t="s">
        <v>522</v>
      </c>
      <c r="C28" s="333">
        <f>C26+C27</f>
        <v>1020</v>
      </c>
      <c r="D28" s="202">
        <f>D26+D27</f>
        <v>1038</v>
      </c>
      <c r="E28" s="202">
        <f>I28+J28+K28+L28</f>
        <v>1008.7500000000001</v>
      </c>
      <c r="F28" s="442">
        <f>C28-E28</f>
        <v>11.249999999999886</v>
      </c>
      <c r="G28" s="1527"/>
      <c r="H28" s="442">
        <v>837.26</v>
      </c>
      <c r="I28" s="442">
        <v>835.71</v>
      </c>
      <c r="J28" s="442">
        <v>30.32</v>
      </c>
      <c r="K28" s="442">
        <v>0</v>
      </c>
      <c r="L28" s="442">
        <v>142.72</v>
      </c>
      <c r="M28" s="218">
        <f t="shared" ref="M28:M48" si="0">I28+J28+K28+L28</f>
        <v>1008.7500000000001</v>
      </c>
    </row>
    <row r="29" spans="1:13">
      <c r="A29" s="211">
        <v>3</v>
      </c>
      <c r="B29" s="459" t="s">
        <v>827</v>
      </c>
      <c r="C29" s="459"/>
      <c r="D29" s="459"/>
      <c r="E29" s="459"/>
      <c r="F29" s="459"/>
      <c r="G29" s="459"/>
      <c r="H29" s="461"/>
      <c r="I29" s="459"/>
      <c r="J29" s="459"/>
      <c r="K29" s="459"/>
      <c r="L29" s="459"/>
      <c r="M29" s="465"/>
    </row>
    <row r="30" spans="1:13" ht="68.25" customHeight="1">
      <c r="A30" s="336">
        <v>3.1</v>
      </c>
      <c r="B30" s="369" t="s">
        <v>524</v>
      </c>
      <c r="C30" s="333">
        <v>50</v>
      </c>
      <c r="D30" s="337">
        <v>59</v>
      </c>
      <c r="E30" s="202">
        <f>I30+J30+K30+L30</f>
        <v>59</v>
      </c>
      <c r="F30" s="443">
        <f>C30-E30</f>
        <v>-9</v>
      </c>
      <c r="G30" s="369" t="s">
        <v>525</v>
      </c>
      <c r="H30" s="443">
        <v>39.700000000000003</v>
      </c>
      <c r="I30" s="443">
        <v>40.36</v>
      </c>
      <c r="J30" s="443">
        <v>7.4399999999999977</v>
      </c>
      <c r="K30" s="443">
        <v>0</v>
      </c>
      <c r="L30" s="443">
        <f>D30-I30-J30-K30</f>
        <v>11.200000000000003</v>
      </c>
      <c r="M30" s="334">
        <f t="shared" si="0"/>
        <v>59</v>
      </c>
    </row>
    <row r="31" spans="1:13" ht="60">
      <c r="A31" s="336">
        <v>3.2</v>
      </c>
      <c r="B31" s="369" t="s">
        <v>526</v>
      </c>
      <c r="C31" s="369">
        <v>0.3</v>
      </c>
      <c r="D31" s="337">
        <v>1</v>
      </c>
      <c r="E31" s="337">
        <f t="shared" ref="E31:E48" si="1">I31+J31+K31+L31</f>
        <v>1</v>
      </c>
      <c r="F31" s="443">
        <f t="shared" ref="F31:F60" si="2">C31-E31</f>
        <v>-0.7</v>
      </c>
      <c r="G31" s="369" t="s">
        <v>527</v>
      </c>
      <c r="H31" s="443">
        <v>0.02</v>
      </c>
      <c r="I31" s="443">
        <v>0.02</v>
      </c>
      <c r="J31" s="443">
        <v>0</v>
      </c>
      <c r="K31" s="443">
        <v>0</v>
      </c>
      <c r="L31" s="443">
        <f>D31-I31-J31-K31</f>
        <v>0.98</v>
      </c>
      <c r="M31" s="334">
        <f t="shared" si="0"/>
        <v>1</v>
      </c>
    </row>
    <row r="32" spans="1:13" ht="36">
      <c r="A32" s="336">
        <v>3.3</v>
      </c>
      <c r="B32" s="369" t="s">
        <v>528</v>
      </c>
      <c r="C32" s="369">
        <v>24</v>
      </c>
      <c r="D32" s="337">
        <v>25</v>
      </c>
      <c r="E32" s="337">
        <f t="shared" si="1"/>
        <v>25</v>
      </c>
      <c r="F32" s="443">
        <f t="shared" si="2"/>
        <v>-1</v>
      </c>
      <c r="G32" s="369" t="s">
        <v>530</v>
      </c>
      <c r="H32" s="443">
        <v>21.35</v>
      </c>
      <c r="I32" s="443">
        <v>21.35</v>
      </c>
      <c r="J32" s="443">
        <v>0</v>
      </c>
      <c r="K32" s="443">
        <v>0</v>
      </c>
      <c r="L32" s="443">
        <f>D32-I32-J32-K32</f>
        <v>3.6499999999999986</v>
      </c>
      <c r="M32" s="334">
        <f t="shared" si="0"/>
        <v>25</v>
      </c>
    </row>
    <row r="33" spans="1:13" ht="24">
      <c r="A33" s="336">
        <v>3.4</v>
      </c>
      <c r="B33" s="369" t="s">
        <v>531</v>
      </c>
      <c r="C33" s="333">
        <v>20</v>
      </c>
      <c r="D33" s="400">
        <v>20</v>
      </c>
      <c r="E33" s="400">
        <f t="shared" si="1"/>
        <v>20</v>
      </c>
      <c r="F33" s="443">
        <f t="shared" si="2"/>
        <v>0</v>
      </c>
      <c r="G33" s="369" t="s">
        <v>532</v>
      </c>
      <c r="H33" s="443">
        <v>11.44</v>
      </c>
      <c r="I33" s="443">
        <v>11.44</v>
      </c>
      <c r="J33" s="443">
        <v>0.27</v>
      </c>
      <c r="K33" s="443">
        <v>0</v>
      </c>
      <c r="L33" s="443">
        <f>D33-I33-J33-K33</f>
        <v>8.2900000000000009</v>
      </c>
      <c r="M33" s="334">
        <f t="shared" si="0"/>
        <v>20</v>
      </c>
    </row>
    <row r="34" spans="1:13" ht="24">
      <c r="A34" s="336">
        <v>3.5</v>
      </c>
      <c r="B34" s="369" t="s">
        <v>832</v>
      </c>
      <c r="C34" s="369">
        <v>52</v>
      </c>
      <c r="D34" s="337">
        <v>56</v>
      </c>
      <c r="E34" s="337">
        <f t="shared" si="1"/>
        <v>56.48</v>
      </c>
      <c r="F34" s="443">
        <f t="shared" si="2"/>
        <v>-4.4799999999999969</v>
      </c>
      <c r="G34" s="369" t="s">
        <v>534</v>
      </c>
      <c r="H34" s="443">
        <v>42.61</v>
      </c>
      <c r="I34" s="443">
        <v>42.61</v>
      </c>
      <c r="J34" s="443">
        <v>1.5</v>
      </c>
      <c r="K34" s="443">
        <v>0</v>
      </c>
      <c r="L34" s="443">
        <v>12.37</v>
      </c>
      <c r="M34" s="334">
        <f t="shared" si="0"/>
        <v>56.48</v>
      </c>
    </row>
    <row r="35" spans="1:13" ht="36">
      <c r="A35" s="336">
        <v>3.6</v>
      </c>
      <c r="B35" s="369" t="s">
        <v>535</v>
      </c>
      <c r="C35" s="369">
        <v>19</v>
      </c>
      <c r="D35" s="337">
        <v>17</v>
      </c>
      <c r="E35" s="337">
        <f t="shared" si="1"/>
        <v>17.190000000000001</v>
      </c>
      <c r="F35" s="443">
        <f t="shared" si="2"/>
        <v>1.8099999999999987</v>
      </c>
      <c r="G35" s="369" t="s">
        <v>536</v>
      </c>
      <c r="H35" s="443">
        <v>16.579999999999998</v>
      </c>
      <c r="I35" s="443">
        <v>16.940000000000001</v>
      </c>
      <c r="J35" s="443">
        <v>0.25</v>
      </c>
      <c r="K35" s="443">
        <v>0</v>
      </c>
      <c r="L35" s="443">
        <v>0</v>
      </c>
      <c r="M35" s="334">
        <f t="shared" si="0"/>
        <v>17.190000000000001</v>
      </c>
    </row>
    <row r="36" spans="1:13" ht="36">
      <c r="A36" s="336">
        <v>3.7</v>
      </c>
      <c r="B36" s="369" t="s">
        <v>537</v>
      </c>
      <c r="C36" s="369">
        <v>58</v>
      </c>
      <c r="D36" s="337">
        <v>67</v>
      </c>
      <c r="E36" s="337">
        <f t="shared" si="1"/>
        <v>67</v>
      </c>
      <c r="F36" s="443">
        <f t="shared" si="2"/>
        <v>-9</v>
      </c>
      <c r="G36" s="369" t="s">
        <v>538</v>
      </c>
      <c r="H36" s="443">
        <v>42.93</v>
      </c>
      <c r="I36" s="443">
        <v>43.17</v>
      </c>
      <c r="J36" s="455">
        <v>5.0499999999999972</v>
      </c>
      <c r="K36" s="455">
        <v>0</v>
      </c>
      <c r="L36" s="455">
        <f>D36-I36-J36-K36</f>
        <v>18.78</v>
      </c>
      <c r="M36" s="462">
        <f t="shared" si="0"/>
        <v>67</v>
      </c>
    </row>
    <row r="37" spans="1:13" ht="24">
      <c r="A37" s="336">
        <v>3.8</v>
      </c>
      <c r="B37" s="369" t="s">
        <v>539</v>
      </c>
      <c r="C37" s="369">
        <v>86</v>
      </c>
      <c r="D37" s="337">
        <v>86</v>
      </c>
      <c r="E37" s="337">
        <f t="shared" si="1"/>
        <v>86</v>
      </c>
      <c r="F37" s="443">
        <f t="shared" si="2"/>
        <v>0</v>
      </c>
      <c r="G37" s="204"/>
      <c r="H37" s="356">
        <v>79.86</v>
      </c>
      <c r="I37" s="356">
        <v>83.48</v>
      </c>
      <c r="J37" s="472">
        <v>2.52</v>
      </c>
      <c r="K37" s="460">
        <v>0</v>
      </c>
      <c r="L37" s="460">
        <v>0</v>
      </c>
      <c r="M37" s="457">
        <f t="shared" si="0"/>
        <v>86</v>
      </c>
    </row>
    <row r="38" spans="1:13" ht="24">
      <c r="A38" s="336">
        <v>3.9</v>
      </c>
      <c r="B38" s="369" t="s">
        <v>540</v>
      </c>
      <c r="C38" s="369">
        <f>378-C37</f>
        <v>292</v>
      </c>
      <c r="D38" s="337">
        <v>320</v>
      </c>
      <c r="E38" s="337">
        <f t="shared" si="1"/>
        <v>320</v>
      </c>
      <c r="F38" s="443">
        <f t="shared" si="2"/>
        <v>-28</v>
      </c>
      <c r="G38" s="204"/>
      <c r="H38" s="356">
        <v>240.78</v>
      </c>
      <c r="I38" s="443">
        <v>0</v>
      </c>
      <c r="J38" s="460">
        <v>0</v>
      </c>
      <c r="K38" s="460">
        <v>0</v>
      </c>
      <c r="L38" s="460">
        <f>D38-I38-J38-K38</f>
        <v>320</v>
      </c>
      <c r="M38" s="457">
        <f t="shared" si="0"/>
        <v>320</v>
      </c>
    </row>
    <row r="39" spans="1:13" ht="24">
      <c r="A39" s="450" t="s">
        <v>829</v>
      </c>
      <c r="B39" s="369" t="s">
        <v>541</v>
      </c>
      <c r="C39" s="369">
        <v>5.4</v>
      </c>
      <c r="D39" s="337">
        <v>5</v>
      </c>
      <c r="E39" s="337">
        <f t="shared" si="1"/>
        <v>5.3999999999999995</v>
      </c>
      <c r="F39" s="443">
        <f t="shared" si="2"/>
        <v>0</v>
      </c>
      <c r="G39" s="204"/>
      <c r="H39" s="356">
        <v>0.23</v>
      </c>
      <c r="I39" s="443">
        <v>0.23</v>
      </c>
      <c r="J39" s="455">
        <v>0.19999999999999998</v>
      </c>
      <c r="K39" s="455">
        <v>0</v>
      </c>
      <c r="L39" s="455">
        <v>4.97</v>
      </c>
      <c r="M39" s="462">
        <f t="shared" si="0"/>
        <v>5.3999999999999995</v>
      </c>
    </row>
    <row r="40" spans="1:13">
      <c r="A40" s="336">
        <v>3.11</v>
      </c>
      <c r="B40" s="369" t="s">
        <v>542</v>
      </c>
      <c r="C40" s="369">
        <v>184</v>
      </c>
      <c r="D40" s="337">
        <v>80</v>
      </c>
      <c r="E40" s="337">
        <f t="shared" si="1"/>
        <v>80</v>
      </c>
      <c r="F40" s="443">
        <f t="shared" si="2"/>
        <v>104</v>
      </c>
      <c r="G40" s="204"/>
      <c r="H40" s="356">
        <v>78.53</v>
      </c>
      <c r="I40" s="443">
        <v>0</v>
      </c>
      <c r="J40" s="455">
        <v>0</v>
      </c>
      <c r="K40" s="455">
        <v>0</v>
      </c>
      <c r="L40" s="455">
        <v>80</v>
      </c>
      <c r="M40" s="462">
        <f t="shared" si="0"/>
        <v>80</v>
      </c>
    </row>
    <row r="41" spans="1:13" ht="36">
      <c r="A41" s="336">
        <v>3.12</v>
      </c>
      <c r="B41" s="369" t="s">
        <v>744</v>
      </c>
      <c r="C41" s="369">
        <v>145</v>
      </c>
      <c r="D41" s="337">
        <v>145</v>
      </c>
      <c r="E41" s="337">
        <f t="shared" si="1"/>
        <v>80</v>
      </c>
      <c r="F41" s="443">
        <f t="shared" si="2"/>
        <v>65</v>
      </c>
      <c r="G41" s="204"/>
      <c r="H41" s="356">
        <v>50.2</v>
      </c>
      <c r="I41" s="443">
        <v>52.18</v>
      </c>
      <c r="J41" s="443">
        <v>13.54</v>
      </c>
      <c r="K41" s="443">
        <v>0</v>
      </c>
      <c r="L41" s="443">
        <v>14.28</v>
      </c>
      <c r="M41" s="334">
        <f t="shared" si="0"/>
        <v>80</v>
      </c>
    </row>
    <row r="42" spans="1:13">
      <c r="A42" s="336">
        <v>3.13</v>
      </c>
      <c r="B42" s="369" t="s">
        <v>543</v>
      </c>
      <c r="C42" s="369">
        <v>4</v>
      </c>
      <c r="D42" s="337">
        <v>5</v>
      </c>
      <c r="E42" s="337">
        <f t="shared" si="1"/>
        <v>5</v>
      </c>
      <c r="F42" s="443">
        <f t="shared" si="2"/>
        <v>-1</v>
      </c>
      <c r="G42" s="204"/>
      <c r="H42" s="356">
        <v>0.74</v>
      </c>
      <c r="I42" s="443">
        <v>0.79</v>
      </c>
      <c r="J42" s="443">
        <v>0.17999999999999994</v>
      </c>
      <c r="K42" s="443">
        <v>0</v>
      </c>
      <c r="L42" s="443">
        <f t="shared" ref="L42:L47" si="3">D42-I42-J42-K42</f>
        <v>4.03</v>
      </c>
      <c r="M42" s="334">
        <f t="shared" si="0"/>
        <v>5</v>
      </c>
    </row>
    <row r="43" spans="1:13">
      <c r="A43" s="336">
        <v>3.14</v>
      </c>
      <c r="B43" s="369" t="s">
        <v>544</v>
      </c>
      <c r="C43" s="369">
        <v>22.1</v>
      </c>
      <c r="D43" s="337">
        <v>22</v>
      </c>
      <c r="E43" s="337">
        <f t="shared" si="1"/>
        <v>22.1</v>
      </c>
      <c r="F43" s="443">
        <f t="shared" si="2"/>
        <v>0</v>
      </c>
      <c r="G43" s="204"/>
      <c r="H43" s="356">
        <v>9.2899999999999991</v>
      </c>
      <c r="I43" s="443">
        <v>9.4499999999999993</v>
      </c>
      <c r="J43" s="443">
        <v>0.6</v>
      </c>
      <c r="K43" s="443">
        <v>0</v>
      </c>
      <c r="L43" s="443">
        <v>12.05</v>
      </c>
      <c r="M43" s="334">
        <f t="shared" si="0"/>
        <v>22.1</v>
      </c>
    </row>
    <row r="44" spans="1:13" ht="24">
      <c r="A44" s="336">
        <v>3.15</v>
      </c>
      <c r="B44" s="369" t="s">
        <v>545</v>
      </c>
      <c r="C44" s="369">
        <v>2</v>
      </c>
      <c r="D44" s="337">
        <v>2</v>
      </c>
      <c r="E44" s="337">
        <f t="shared" si="1"/>
        <v>2</v>
      </c>
      <c r="F44" s="443">
        <f t="shared" si="2"/>
        <v>0</v>
      </c>
      <c r="G44" s="204"/>
      <c r="H44" s="356">
        <v>0.42</v>
      </c>
      <c r="I44" s="443">
        <v>0.42</v>
      </c>
      <c r="J44" s="443">
        <v>0</v>
      </c>
      <c r="K44" s="443">
        <v>0</v>
      </c>
      <c r="L44" s="443">
        <f t="shared" si="3"/>
        <v>1.58</v>
      </c>
      <c r="M44" s="334">
        <f t="shared" si="0"/>
        <v>2</v>
      </c>
    </row>
    <row r="45" spans="1:13" ht="24">
      <c r="A45" s="336">
        <v>3.16</v>
      </c>
      <c r="B45" s="369" t="s">
        <v>548</v>
      </c>
      <c r="C45" s="369">
        <v>6</v>
      </c>
      <c r="D45" s="337">
        <v>5</v>
      </c>
      <c r="E45" s="337">
        <f t="shared" si="1"/>
        <v>5</v>
      </c>
      <c r="F45" s="443">
        <f t="shared" si="2"/>
        <v>1</v>
      </c>
      <c r="G45" s="204"/>
      <c r="H45" s="356">
        <v>2.37</v>
      </c>
      <c r="I45" s="443">
        <v>2.37</v>
      </c>
      <c r="J45" s="443">
        <v>0</v>
      </c>
      <c r="K45" s="443">
        <v>0</v>
      </c>
      <c r="L45" s="443">
        <f t="shared" si="3"/>
        <v>2.63</v>
      </c>
      <c r="M45" s="334">
        <f t="shared" si="0"/>
        <v>5</v>
      </c>
    </row>
    <row r="46" spans="1:13">
      <c r="A46" s="336">
        <v>3.17</v>
      </c>
      <c r="B46" s="369" t="s">
        <v>549</v>
      </c>
      <c r="C46" s="369">
        <v>8</v>
      </c>
      <c r="D46" s="337">
        <v>5</v>
      </c>
      <c r="E46" s="337">
        <f t="shared" si="1"/>
        <v>5</v>
      </c>
      <c r="F46" s="443">
        <f t="shared" si="2"/>
        <v>3</v>
      </c>
      <c r="G46" s="204"/>
      <c r="H46" s="356">
        <v>3.25</v>
      </c>
      <c r="I46" s="443">
        <v>3.48</v>
      </c>
      <c r="J46" s="443">
        <v>0.33000000000000007</v>
      </c>
      <c r="K46" s="443">
        <v>0</v>
      </c>
      <c r="L46" s="443">
        <f t="shared" si="3"/>
        <v>1.19</v>
      </c>
      <c r="M46" s="334">
        <f t="shared" si="0"/>
        <v>5</v>
      </c>
    </row>
    <row r="47" spans="1:13">
      <c r="A47" s="336">
        <v>3.18</v>
      </c>
      <c r="B47" s="369" t="s">
        <v>550</v>
      </c>
      <c r="C47" s="369"/>
      <c r="D47" s="337"/>
      <c r="E47" s="337">
        <f t="shared" si="1"/>
        <v>0</v>
      </c>
      <c r="F47" s="443">
        <f t="shared" si="2"/>
        <v>0</v>
      </c>
      <c r="G47" s="204"/>
      <c r="H47" s="356">
        <v>0</v>
      </c>
      <c r="I47" s="443">
        <v>0</v>
      </c>
      <c r="J47" s="443">
        <v>0</v>
      </c>
      <c r="K47" s="443">
        <v>0</v>
      </c>
      <c r="L47" s="443">
        <f t="shared" si="3"/>
        <v>0</v>
      </c>
      <c r="M47" s="334">
        <f t="shared" si="0"/>
        <v>0</v>
      </c>
    </row>
    <row r="48" spans="1:13">
      <c r="A48" s="336">
        <v>3.19</v>
      </c>
      <c r="B48" s="473" t="s">
        <v>745</v>
      </c>
      <c r="C48" s="473">
        <v>28.69</v>
      </c>
      <c r="D48" s="337">
        <v>0</v>
      </c>
      <c r="E48" s="337">
        <f t="shared" si="1"/>
        <v>28.69</v>
      </c>
      <c r="F48" s="443">
        <f t="shared" si="2"/>
        <v>0</v>
      </c>
      <c r="G48" s="204"/>
      <c r="H48" s="356">
        <v>0</v>
      </c>
      <c r="I48" s="443">
        <v>0</v>
      </c>
      <c r="J48" s="443">
        <v>28.69</v>
      </c>
      <c r="K48" s="443">
        <v>0</v>
      </c>
      <c r="L48" s="443">
        <v>0</v>
      </c>
      <c r="M48" s="334">
        <f t="shared" si="0"/>
        <v>28.69</v>
      </c>
    </row>
    <row r="49" spans="1:13" ht="45">
      <c r="A49" s="451" t="s">
        <v>830</v>
      </c>
      <c r="B49" s="474" t="s">
        <v>828</v>
      </c>
      <c r="C49" s="474"/>
      <c r="D49" s="452"/>
      <c r="E49" s="452"/>
      <c r="F49" s="442"/>
      <c r="G49" s="453"/>
      <c r="H49" s="454"/>
      <c r="I49" s="442">
        <f>SUM(I30:I48)</f>
        <v>328.29000000000008</v>
      </c>
      <c r="J49" s="442">
        <f>SUM(J30:J48)</f>
        <v>60.569999999999993</v>
      </c>
      <c r="K49" s="442">
        <f>SUM(K30:K48)</f>
        <v>0</v>
      </c>
      <c r="L49" s="442">
        <f>SUM(L30:L48)</f>
        <v>495.99999999999994</v>
      </c>
      <c r="M49" s="218">
        <f>SUM(M30:M48)</f>
        <v>884.86</v>
      </c>
    </row>
    <row r="50" spans="1:13">
      <c r="A50" s="211">
        <v>4</v>
      </c>
      <c r="B50" s="222" t="s">
        <v>552</v>
      </c>
      <c r="C50" s="222"/>
      <c r="D50" s="222"/>
      <c r="E50" s="222"/>
      <c r="F50" s="222"/>
      <c r="G50" s="222"/>
      <c r="H50" s="353"/>
      <c r="I50" s="222"/>
      <c r="J50" s="222"/>
      <c r="K50" s="222"/>
      <c r="L50" s="222"/>
      <c r="M50" s="223"/>
    </row>
    <row r="51" spans="1:13" ht="36">
      <c r="A51" s="336">
        <v>4.0999999999999996</v>
      </c>
      <c r="B51" s="369" t="s">
        <v>546</v>
      </c>
      <c r="C51" s="369">
        <v>49</v>
      </c>
      <c r="D51" s="337">
        <v>42</v>
      </c>
      <c r="E51" s="337" t="e">
        <f>I51+#REF!+#REF!+#REF!</f>
        <v>#VALUE!</v>
      </c>
      <c r="F51" s="443" t="e">
        <f>C51-E51</f>
        <v>#VALUE!</v>
      </c>
      <c r="G51" s="204"/>
      <c r="H51" s="356">
        <v>42</v>
      </c>
      <c r="I51" s="455" t="s">
        <v>831</v>
      </c>
      <c r="J51" s="455" t="s">
        <v>831</v>
      </c>
      <c r="K51" s="455">
        <v>0</v>
      </c>
      <c r="L51" s="455" t="s">
        <v>831</v>
      </c>
      <c r="M51" s="462" t="s">
        <v>831</v>
      </c>
    </row>
    <row r="52" spans="1:13" ht="24">
      <c r="A52" s="336">
        <v>4.2</v>
      </c>
      <c r="B52" s="369" t="s">
        <v>547</v>
      </c>
      <c r="C52" s="369">
        <v>30</v>
      </c>
      <c r="D52" s="337">
        <v>25</v>
      </c>
      <c r="E52" s="337" t="e">
        <f>I52+#REF!+#REF!+#REF!</f>
        <v>#VALUE!</v>
      </c>
      <c r="F52" s="443" t="e">
        <f>C52-E52</f>
        <v>#VALUE!</v>
      </c>
      <c r="G52" s="204"/>
      <c r="H52" s="356">
        <v>24.66</v>
      </c>
      <c r="I52" s="455" t="s">
        <v>831</v>
      </c>
      <c r="J52" s="455" t="s">
        <v>831</v>
      </c>
      <c r="K52" s="455">
        <v>0</v>
      </c>
      <c r="L52" s="455" t="s">
        <v>831</v>
      </c>
      <c r="M52" s="462" t="s">
        <v>831</v>
      </c>
    </row>
    <row r="53" spans="1:13" ht="24">
      <c r="A53" s="336">
        <v>4.3</v>
      </c>
      <c r="B53" s="369" t="s">
        <v>553</v>
      </c>
      <c r="C53" s="369">
        <v>5</v>
      </c>
      <c r="D53" s="337">
        <v>48</v>
      </c>
      <c r="E53" s="337" t="e">
        <f>I53+J53+K53+L53</f>
        <v>#VALUE!</v>
      </c>
      <c r="F53" s="443" t="e">
        <f t="shared" si="2"/>
        <v>#VALUE!</v>
      </c>
      <c r="G53" s="369" t="s">
        <v>554</v>
      </c>
      <c r="H53" s="443">
        <v>11.32</v>
      </c>
      <c r="I53" s="455" t="s">
        <v>831</v>
      </c>
      <c r="J53" s="455" t="s">
        <v>831</v>
      </c>
      <c r="K53" s="455">
        <v>0</v>
      </c>
      <c r="L53" s="455" t="s">
        <v>831</v>
      </c>
      <c r="M53" s="462" t="s">
        <v>831</v>
      </c>
    </row>
    <row r="54" spans="1:13" ht="24">
      <c r="A54" s="336">
        <v>4.4000000000000004</v>
      </c>
      <c r="B54" s="369" t="s">
        <v>555</v>
      </c>
      <c r="C54" s="369">
        <v>94</v>
      </c>
      <c r="D54" s="337">
        <v>70</v>
      </c>
      <c r="E54" s="337" t="e">
        <f>I54+J54+K54+L54</f>
        <v>#VALUE!</v>
      </c>
      <c r="F54" s="443" t="e">
        <f t="shared" si="2"/>
        <v>#VALUE!</v>
      </c>
      <c r="G54" s="369" t="s">
        <v>556</v>
      </c>
      <c r="H54" s="443">
        <v>69.8</v>
      </c>
      <c r="I54" s="455" t="s">
        <v>831</v>
      </c>
      <c r="J54" s="455" t="s">
        <v>831</v>
      </c>
      <c r="K54" s="455">
        <v>0</v>
      </c>
      <c r="L54" s="455" t="s">
        <v>831</v>
      </c>
      <c r="M54" s="462" t="s">
        <v>831</v>
      </c>
    </row>
    <row r="55" spans="1:13" ht="24">
      <c r="A55" s="336">
        <v>4.5</v>
      </c>
      <c r="B55" s="369" t="s">
        <v>557</v>
      </c>
      <c r="C55" s="369">
        <v>120</v>
      </c>
      <c r="D55" s="337">
        <v>127</v>
      </c>
      <c r="E55" s="337" t="e">
        <f>I55+J55+K55+L55</f>
        <v>#VALUE!</v>
      </c>
      <c r="F55" s="443" t="e">
        <f t="shared" si="2"/>
        <v>#VALUE!</v>
      </c>
      <c r="G55" s="369" t="s">
        <v>558</v>
      </c>
      <c r="H55" s="443">
        <v>107.77</v>
      </c>
      <c r="I55" s="455" t="s">
        <v>831</v>
      </c>
      <c r="J55" s="455" t="s">
        <v>831</v>
      </c>
      <c r="K55" s="455">
        <v>0</v>
      </c>
      <c r="L55" s="455" t="s">
        <v>831</v>
      </c>
      <c r="M55" s="462" t="s">
        <v>831</v>
      </c>
    </row>
    <row r="56" spans="1:13" ht="60">
      <c r="A56" s="336">
        <v>4.5999999999999996</v>
      </c>
      <c r="B56" s="369" t="s">
        <v>559</v>
      </c>
      <c r="C56" s="369">
        <v>41</v>
      </c>
      <c r="D56" s="337">
        <v>40</v>
      </c>
      <c r="E56" s="337" t="e">
        <f>I56+J56+K56+L56</f>
        <v>#VALUE!</v>
      </c>
      <c r="F56" s="443" t="e">
        <f t="shared" si="2"/>
        <v>#VALUE!</v>
      </c>
      <c r="G56" s="369" t="s">
        <v>571</v>
      </c>
      <c r="H56" s="443">
        <v>38.69</v>
      </c>
      <c r="I56" s="455" t="s">
        <v>831</v>
      </c>
      <c r="J56" s="455" t="s">
        <v>831</v>
      </c>
      <c r="K56" s="455">
        <v>0</v>
      </c>
      <c r="L56" s="455" t="s">
        <v>831</v>
      </c>
      <c r="M56" s="462" t="s">
        <v>831</v>
      </c>
    </row>
    <row r="57" spans="1:13" ht="24">
      <c r="A57" s="336">
        <v>4.7</v>
      </c>
      <c r="B57" s="369" t="s">
        <v>746</v>
      </c>
      <c r="C57" s="369">
        <v>17</v>
      </c>
      <c r="D57" s="337">
        <v>0</v>
      </c>
      <c r="E57" s="337" t="e">
        <f>I57+#REF!+#REF!+#REF!</f>
        <v>#VALUE!</v>
      </c>
      <c r="F57" s="443" t="e">
        <f>C57-E57</f>
        <v>#VALUE!</v>
      </c>
      <c r="G57" s="204"/>
      <c r="H57" s="356">
        <v>18.149999999999999</v>
      </c>
      <c r="I57" s="455" t="s">
        <v>831</v>
      </c>
      <c r="J57" s="455" t="s">
        <v>831</v>
      </c>
      <c r="K57" s="455">
        <v>0</v>
      </c>
      <c r="L57" s="455" t="s">
        <v>831</v>
      </c>
      <c r="M57" s="462" t="s">
        <v>831</v>
      </c>
    </row>
    <row r="58" spans="1:13" ht="19.5" customHeight="1">
      <c r="A58" s="211">
        <v>4.8</v>
      </c>
      <c r="B58" s="333" t="s">
        <v>565</v>
      </c>
      <c r="C58" s="333">
        <f ca="1">SUM(C53:C59)</f>
        <v>747331029.72053218</v>
      </c>
      <c r="D58" s="452">
        <f ca="1">SUM(D53:D59)</f>
        <v>651164294</v>
      </c>
      <c r="E58" s="452" t="e">
        <f>SUM(E53:E59)</f>
        <v>#VALUE!</v>
      </c>
      <c r="F58" s="442" t="e">
        <f ca="1">C58-E58</f>
        <v>#VALUE!</v>
      </c>
      <c r="G58" s="204"/>
      <c r="H58" s="442">
        <f ca="1">SUM(H53:H59)</f>
        <v>716358300.68986356</v>
      </c>
      <c r="I58" s="442">
        <v>291.10000000000002</v>
      </c>
      <c r="J58" s="353">
        <v>6.24</v>
      </c>
      <c r="K58" s="353">
        <v>0</v>
      </c>
      <c r="L58" s="353">
        <v>37.229999999999997</v>
      </c>
      <c r="M58" s="366">
        <f>SUM(I58:L58)</f>
        <v>334.57000000000005</v>
      </c>
    </row>
    <row r="59" spans="1:13">
      <c r="A59" s="211">
        <v>5</v>
      </c>
      <c r="B59" s="333" t="s">
        <v>564</v>
      </c>
      <c r="C59" s="369">
        <v>1264.3399999999999</v>
      </c>
      <c r="D59" s="337">
        <v>1058</v>
      </c>
      <c r="E59" s="337">
        <f>I59+J58+K58+L58</f>
        <v>927.1</v>
      </c>
      <c r="F59" s="443">
        <f>C59-E59</f>
        <v>337.2399999999999</v>
      </c>
      <c r="G59" s="204"/>
      <c r="H59" s="356">
        <v>1231.73</v>
      </c>
      <c r="I59" s="442">
        <v>883.63</v>
      </c>
      <c r="J59" s="353">
        <v>0</v>
      </c>
      <c r="K59" s="353">
        <v>0</v>
      </c>
      <c r="L59" s="353">
        <v>0</v>
      </c>
      <c r="M59" s="366">
        <f>SUM(I59:L59)</f>
        <v>883.63</v>
      </c>
    </row>
    <row r="60" spans="1:13" ht="36.75" thickBot="1">
      <c r="A60" s="466">
        <v>6</v>
      </c>
      <c r="B60" s="467" t="s">
        <v>566</v>
      </c>
      <c r="C60" s="467" t="e">
        <f ca="1">C20+C28+#REF!+C58</f>
        <v>#REF!</v>
      </c>
      <c r="D60" s="468" t="e">
        <f ca="1">D20+D28+#REF!+D58</f>
        <v>#REF!</v>
      </c>
      <c r="E60" s="468" t="e">
        <f>E20+E28+#REF!+E58</f>
        <v>#REF!</v>
      </c>
      <c r="F60" s="469" t="e">
        <f t="shared" ca="1" si="2"/>
        <v>#REF!</v>
      </c>
      <c r="G60" s="470"/>
      <c r="H60" s="470" t="e">
        <f ca="1">H20+H28+#REF!+H58</f>
        <v>#REF!</v>
      </c>
      <c r="I60" s="470">
        <f>I20+I28+I49+I58+I59</f>
        <v>6705.71</v>
      </c>
      <c r="J60" s="470">
        <f>J20+J28+J49+J58+J59</f>
        <v>124.84999999999998</v>
      </c>
      <c r="K60" s="470">
        <f>K20+K28+K49+K58+K59</f>
        <v>0</v>
      </c>
      <c r="L60" s="470">
        <f>L20+L28+L49+L58+L59</f>
        <v>744.68999999999994</v>
      </c>
      <c r="M60" s="471">
        <f>M20+M28+M49+M58+M59</f>
        <v>7575.2499999999991</v>
      </c>
    </row>
    <row r="61" spans="1:13">
      <c r="A61" s="213"/>
      <c r="B61" s="207"/>
      <c r="C61" s="207"/>
      <c r="D61" s="207"/>
      <c r="E61" s="207"/>
      <c r="F61" s="207"/>
      <c r="G61" s="207"/>
      <c r="H61" s="357"/>
      <c r="I61" s="207"/>
      <c r="J61" s="1513"/>
      <c r="K61" s="1513"/>
      <c r="L61" s="1513"/>
      <c r="M61" s="198"/>
    </row>
    <row r="62" spans="1:13" ht="15.75" thickBot="1">
      <c r="A62" s="199"/>
      <c r="B62" s="191"/>
      <c r="C62" s="191"/>
      <c r="D62" s="191"/>
      <c r="E62" s="191"/>
      <c r="F62" s="191"/>
      <c r="G62" s="191"/>
      <c r="H62" s="358"/>
      <c r="I62" s="191"/>
      <c r="J62" s="191"/>
      <c r="K62" s="191"/>
      <c r="L62" s="191"/>
      <c r="M62" s="214"/>
    </row>
    <row r="65" spans="3:12" ht="15.75">
      <c r="C65" s="446" t="s">
        <v>816</v>
      </c>
    </row>
    <row r="68" spans="3:12">
      <c r="C68" s="1579" t="s">
        <v>751</v>
      </c>
      <c r="D68" s="1581" t="s">
        <v>748</v>
      </c>
      <c r="E68" s="1582"/>
      <c r="F68" s="1579" t="s">
        <v>502</v>
      </c>
      <c r="G68" s="1520" t="s">
        <v>503</v>
      </c>
      <c r="H68" s="1579" t="s">
        <v>814</v>
      </c>
      <c r="I68" s="1579" t="s">
        <v>815</v>
      </c>
      <c r="J68" s="1585" t="s">
        <v>749</v>
      </c>
      <c r="K68" s="1585" t="s">
        <v>750</v>
      </c>
      <c r="L68" s="1587" t="s">
        <v>747</v>
      </c>
    </row>
    <row r="69" spans="3:12">
      <c r="C69" s="1580"/>
      <c r="D69" s="1583"/>
      <c r="E69" s="1584"/>
      <c r="F69" s="1580"/>
      <c r="G69" s="1520"/>
      <c r="H69" s="1580"/>
      <c r="I69" s="1580"/>
      <c r="J69" s="1586"/>
      <c r="K69" s="1586"/>
      <c r="L69" s="1588"/>
    </row>
    <row r="70" spans="3:12">
      <c r="C70" s="332"/>
      <c r="D70" s="332">
        <v>-3</v>
      </c>
      <c r="E70" s="332">
        <v>-4</v>
      </c>
      <c r="F70" s="332">
        <v>-5</v>
      </c>
      <c r="G70" s="332">
        <v>-6</v>
      </c>
      <c r="H70" s="332">
        <v>-7</v>
      </c>
      <c r="I70" s="332">
        <v>-8</v>
      </c>
      <c r="J70" s="332">
        <v>-9</v>
      </c>
      <c r="K70" s="332">
        <v>-10</v>
      </c>
      <c r="L70" s="221">
        <v>-11</v>
      </c>
    </row>
    <row r="71" spans="3:12">
      <c r="C71" s="222"/>
      <c r="D71" s="222"/>
      <c r="E71" s="222"/>
      <c r="F71" s="222"/>
      <c r="G71" s="222"/>
      <c r="H71" s="353"/>
      <c r="I71" s="222"/>
      <c r="J71" s="359"/>
      <c r="K71" s="359"/>
      <c r="L71" s="223"/>
    </row>
    <row r="72" spans="3:12">
      <c r="C72" s="369">
        <v>2985.56</v>
      </c>
      <c r="D72" s="369">
        <v>2998</v>
      </c>
      <c r="E72" s="201"/>
      <c r="F72" s="443"/>
      <c r="G72" s="1527" t="s">
        <v>507</v>
      </c>
      <c r="H72" s="443"/>
      <c r="I72" s="333"/>
      <c r="J72" s="360"/>
      <c r="K72" s="360"/>
      <c r="L72" s="334"/>
    </row>
    <row r="73" spans="3:12">
      <c r="C73" s="369">
        <v>388.03</v>
      </c>
      <c r="D73" s="337">
        <v>388</v>
      </c>
      <c r="E73" s="337"/>
      <c r="F73" s="443"/>
      <c r="G73" s="1527"/>
      <c r="H73" s="443"/>
      <c r="I73" s="443"/>
      <c r="J73" s="361"/>
      <c r="K73" s="361"/>
      <c r="L73" s="334"/>
    </row>
    <row r="74" spans="3:12">
      <c r="C74" s="369">
        <v>75.7</v>
      </c>
      <c r="D74" s="337">
        <v>76</v>
      </c>
      <c r="E74" s="337"/>
      <c r="F74" s="443"/>
      <c r="G74" s="1527"/>
      <c r="H74" s="443"/>
      <c r="I74" s="443"/>
      <c r="J74" s="361"/>
      <c r="K74" s="361"/>
      <c r="L74" s="445"/>
    </row>
    <row r="75" spans="3:12">
      <c r="C75" s="369">
        <v>610</v>
      </c>
      <c r="D75" s="337">
        <v>610</v>
      </c>
      <c r="E75" s="337"/>
      <c r="F75" s="443"/>
      <c r="G75" s="1527"/>
      <c r="H75" s="443"/>
      <c r="I75" s="443"/>
      <c r="J75" s="361"/>
      <c r="K75" s="361"/>
      <c r="L75" s="334"/>
    </row>
    <row r="76" spans="3:12">
      <c r="C76" s="369">
        <f>SUM(C72:C75)</f>
        <v>4059.29</v>
      </c>
      <c r="D76" s="337">
        <v>4072</v>
      </c>
      <c r="E76" s="201"/>
      <c r="F76" s="443"/>
      <c r="G76" s="1527"/>
      <c r="H76" s="443"/>
      <c r="I76" s="443"/>
      <c r="J76" s="361"/>
      <c r="K76" s="361"/>
      <c r="L76" s="334"/>
    </row>
    <row r="77" spans="3:12">
      <c r="C77" s="369">
        <v>775</v>
      </c>
      <c r="D77" s="337">
        <v>706</v>
      </c>
      <c r="E77" s="337"/>
      <c r="F77" s="443"/>
      <c r="G77" s="1527"/>
      <c r="H77" s="443"/>
      <c r="I77" s="443"/>
      <c r="J77" s="361"/>
      <c r="K77" s="361"/>
      <c r="L77" s="334"/>
    </row>
    <row r="78" spans="3:12">
      <c r="C78" s="369">
        <v>100.21</v>
      </c>
      <c r="D78" s="337">
        <v>100</v>
      </c>
      <c r="E78" s="337"/>
      <c r="F78" s="443"/>
      <c r="G78" s="1527"/>
      <c r="H78" s="443"/>
      <c r="I78" s="443"/>
      <c r="J78" s="361"/>
      <c r="K78" s="361"/>
      <c r="L78" s="334"/>
    </row>
    <row r="79" spans="3:12">
      <c r="C79" s="333">
        <f>C76+C77+C78</f>
        <v>4934.5</v>
      </c>
      <c r="D79" s="202">
        <f>D76+D77+D78</f>
        <v>4878</v>
      </c>
      <c r="E79" s="202">
        <f>I79+J79+K79+L79</f>
        <v>4878</v>
      </c>
      <c r="F79" s="203">
        <f>C79-E79</f>
        <v>56.5</v>
      </c>
      <c r="G79" s="1527"/>
      <c r="H79" s="442">
        <v>4749.95</v>
      </c>
      <c r="I79" s="442">
        <v>4781.54</v>
      </c>
      <c r="J79" s="441">
        <v>27.72</v>
      </c>
      <c r="K79" s="441">
        <v>2</v>
      </c>
      <c r="L79" s="212">
        <f>D79-I79-J79-K79</f>
        <v>66.740000000000038</v>
      </c>
    </row>
    <row r="80" spans="3:12">
      <c r="C80" s="225"/>
      <c r="D80" s="225"/>
      <c r="E80" s="225"/>
      <c r="F80" s="225"/>
      <c r="G80" s="225"/>
      <c r="H80" s="354"/>
      <c r="I80" s="225"/>
      <c r="J80" s="225"/>
      <c r="K80" s="225"/>
      <c r="L80" s="226"/>
    </row>
    <row r="81" spans="3:12">
      <c r="C81" s="369">
        <v>490</v>
      </c>
      <c r="D81" s="337">
        <v>490</v>
      </c>
      <c r="E81" s="337"/>
      <c r="F81" s="443"/>
      <c r="G81" s="1527" t="s">
        <v>517</v>
      </c>
      <c r="H81" s="443"/>
      <c r="I81" s="443"/>
      <c r="J81" s="361"/>
      <c r="K81" s="361"/>
      <c r="L81" s="334"/>
    </row>
    <row r="82" spans="3:12">
      <c r="C82" s="369">
        <v>340</v>
      </c>
      <c r="D82" s="337">
        <v>340</v>
      </c>
      <c r="E82" s="337"/>
      <c r="F82" s="443"/>
      <c r="G82" s="1527"/>
      <c r="H82" s="443"/>
      <c r="I82" s="443"/>
      <c r="J82" s="361"/>
      <c r="K82" s="361"/>
      <c r="L82" s="334"/>
    </row>
    <row r="83" spans="3:12">
      <c r="C83" s="369">
        <v>140</v>
      </c>
      <c r="D83" s="337">
        <v>140</v>
      </c>
      <c r="E83" s="337"/>
      <c r="F83" s="443"/>
      <c r="G83" s="1527"/>
      <c r="H83" s="443"/>
      <c r="I83" s="443"/>
      <c r="J83" s="361"/>
      <c r="K83" s="361"/>
      <c r="L83" s="334"/>
    </row>
    <row r="84" spans="3:12">
      <c r="C84" s="369">
        <v>3</v>
      </c>
      <c r="D84" s="337">
        <v>3</v>
      </c>
      <c r="E84" s="337"/>
      <c r="F84" s="443"/>
      <c r="G84" s="1527"/>
      <c r="H84" s="443"/>
      <c r="I84" s="443"/>
      <c r="J84" s="361"/>
      <c r="K84" s="361"/>
      <c r="L84" s="334"/>
    </row>
    <row r="85" spans="3:12">
      <c r="C85" s="369">
        <v>973</v>
      </c>
      <c r="D85" s="337">
        <v>973</v>
      </c>
      <c r="E85" s="337"/>
      <c r="F85" s="443"/>
      <c r="G85" s="1527"/>
      <c r="H85" s="443"/>
      <c r="I85" s="443"/>
      <c r="J85" s="361"/>
      <c r="K85" s="361"/>
      <c r="L85" s="334"/>
    </row>
    <row r="86" spans="3:12">
      <c r="C86" s="369">
        <f>65-18</f>
        <v>47</v>
      </c>
      <c r="D86" s="337">
        <v>65</v>
      </c>
      <c r="E86" s="337"/>
      <c r="F86" s="443"/>
      <c r="G86" s="1527"/>
      <c r="H86" s="443"/>
      <c r="I86" s="443"/>
      <c r="J86" s="361"/>
      <c r="K86" s="361"/>
      <c r="L86" s="334"/>
    </row>
    <row r="87" spans="3:12">
      <c r="C87" s="333">
        <f>C85+C86</f>
        <v>1020</v>
      </c>
      <c r="D87" s="202">
        <f>D85+D86</f>
        <v>1038</v>
      </c>
      <c r="E87" s="202">
        <f>I87+J87+K87+L87</f>
        <v>1038</v>
      </c>
      <c r="F87" s="442">
        <f>C87-E87</f>
        <v>-18</v>
      </c>
      <c r="G87" s="1527"/>
      <c r="H87" s="442">
        <v>837.26</v>
      </c>
      <c r="I87" s="442">
        <v>864.96</v>
      </c>
      <c r="J87" s="441">
        <v>30.32</v>
      </c>
      <c r="K87" s="441">
        <v>24</v>
      </c>
      <c r="L87" s="218">
        <f>D87-I87-J87-K87</f>
        <v>118.71999999999997</v>
      </c>
    </row>
    <row r="88" spans="3:12">
      <c r="C88" s="228"/>
      <c r="D88" s="228"/>
      <c r="E88" s="228"/>
      <c r="F88" s="228"/>
      <c r="G88" s="228"/>
      <c r="H88" s="355"/>
      <c r="I88" s="228"/>
      <c r="J88" s="228"/>
      <c r="K88" s="228"/>
      <c r="L88" s="229"/>
    </row>
    <row r="89" spans="3:12" ht="60">
      <c r="C89" s="333">
        <v>50</v>
      </c>
      <c r="D89" s="337">
        <v>59</v>
      </c>
      <c r="E89" s="202">
        <f>I89+J89+K89+L89</f>
        <v>59</v>
      </c>
      <c r="F89" s="443">
        <f>C89-E89</f>
        <v>-9</v>
      </c>
      <c r="G89" s="369" t="s">
        <v>525</v>
      </c>
      <c r="H89" s="443">
        <v>39.700000000000003</v>
      </c>
      <c r="I89" s="443">
        <v>40.36</v>
      </c>
      <c r="J89" s="361">
        <v>7.4399999999999977</v>
      </c>
      <c r="K89" s="361">
        <v>0</v>
      </c>
      <c r="L89" s="334">
        <f>D89-I89-J89-K89</f>
        <v>11.200000000000003</v>
      </c>
    </row>
    <row r="90" spans="3:12" ht="60">
      <c r="C90" s="369">
        <v>0.3</v>
      </c>
      <c r="D90" s="337">
        <v>1</v>
      </c>
      <c r="E90" s="337">
        <f t="shared" ref="E90:E109" si="4">I90+J90+K90+L90</f>
        <v>1</v>
      </c>
      <c r="F90" s="443">
        <f t="shared" ref="F90:F110" si="5">C90-E90</f>
        <v>-0.7</v>
      </c>
      <c r="G90" s="369" t="s">
        <v>527</v>
      </c>
      <c r="H90" s="443">
        <v>0.02</v>
      </c>
      <c r="I90" s="443">
        <v>0.02</v>
      </c>
      <c r="J90" s="361">
        <v>0</v>
      </c>
      <c r="K90" s="361">
        <v>0</v>
      </c>
      <c r="L90" s="334">
        <f>D90-I90-J90-K90</f>
        <v>0.98</v>
      </c>
    </row>
    <row r="91" spans="3:12" ht="36">
      <c r="C91" s="369">
        <v>24</v>
      </c>
      <c r="D91" s="337">
        <v>25</v>
      </c>
      <c r="E91" s="337">
        <f t="shared" si="4"/>
        <v>25</v>
      </c>
      <c r="F91" s="443">
        <f t="shared" si="5"/>
        <v>-1</v>
      </c>
      <c r="G91" s="369" t="s">
        <v>530</v>
      </c>
      <c r="H91" s="443">
        <v>21.35</v>
      </c>
      <c r="I91" s="443">
        <v>21.35</v>
      </c>
      <c r="J91" s="361">
        <v>0</v>
      </c>
      <c r="K91" s="361">
        <v>0</v>
      </c>
      <c r="L91" s="334">
        <f>D91-I91-J91-K91</f>
        <v>3.6499999999999986</v>
      </c>
    </row>
    <row r="92" spans="3:12" ht="24">
      <c r="C92" s="333">
        <v>20</v>
      </c>
      <c r="D92" s="400">
        <v>20</v>
      </c>
      <c r="E92" s="400">
        <f t="shared" si="4"/>
        <v>20</v>
      </c>
      <c r="F92" s="443">
        <f t="shared" si="5"/>
        <v>0</v>
      </c>
      <c r="G92" s="369" t="s">
        <v>532</v>
      </c>
      <c r="H92" s="443">
        <v>11.44</v>
      </c>
      <c r="I92" s="443">
        <v>11.44</v>
      </c>
      <c r="J92" s="361">
        <v>0.27</v>
      </c>
      <c r="K92" s="361">
        <v>0</v>
      </c>
      <c r="L92" s="334">
        <f>D92-I92-J92-K92</f>
        <v>8.2900000000000009</v>
      </c>
    </row>
    <row r="93" spans="3:12" ht="24">
      <c r="C93" s="369">
        <v>52</v>
      </c>
      <c r="D93" s="337">
        <v>56</v>
      </c>
      <c r="E93" s="337">
        <f t="shared" si="4"/>
        <v>56</v>
      </c>
      <c r="F93" s="443">
        <f t="shared" si="5"/>
        <v>-4</v>
      </c>
      <c r="G93" s="369" t="s">
        <v>534</v>
      </c>
      <c r="H93" s="443">
        <v>42.61</v>
      </c>
      <c r="I93" s="443">
        <v>42.61</v>
      </c>
      <c r="J93" s="361">
        <v>1.5</v>
      </c>
      <c r="K93" s="361">
        <v>0</v>
      </c>
      <c r="L93" s="334">
        <f>D93-I93-J93-K93</f>
        <v>11.89</v>
      </c>
    </row>
    <row r="94" spans="3:12" ht="36">
      <c r="C94" s="369">
        <v>19</v>
      </c>
      <c r="D94" s="337">
        <v>17</v>
      </c>
      <c r="E94" s="337">
        <f t="shared" si="4"/>
        <v>17.190000000000001</v>
      </c>
      <c r="F94" s="443">
        <f t="shared" si="5"/>
        <v>1.8099999999999987</v>
      </c>
      <c r="G94" s="369" t="s">
        <v>536</v>
      </c>
      <c r="H94" s="443">
        <v>16.579999999999998</v>
      </c>
      <c r="I94" s="443">
        <v>16.940000000000001</v>
      </c>
      <c r="J94" s="361">
        <v>0.25</v>
      </c>
      <c r="K94" s="361">
        <v>0</v>
      </c>
      <c r="L94" s="334">
        <v>0</v>
      </c>
    </row>
    <row r="95" spans="3:12" ht="36">
      <c r="C95" s="369">
        <v>58</v>
      </c>
      <c r="D95" s="337">
        <v>67</v>
      </c>
      <c r="E95" s="337">
        <f t="shared" si="4"/>
        <v>67</v>
      </c>
      <c r="F95" s="443">
        <f t="shared" si="5"/>
        <v>-9</v>
      </c>
      <c r="G95" s="369" t="s">
        <v>538</v>
      </c>
      <c r="H95" s="443">
        <v>42.93</v>
      </c>
      <c r="I95" s="443">
        <v>43.17</v>
      </c>
      <c r="J95" s="361">
        <v>5.0499999999999972</v>
      </c>
      <c r="K95" s="361">
        <v>0</v>
      </c>
      <c r="L95" s="334">
        <f>D95-I95-J95-K95</f>
        <v>18.78</v>
      </c>
    </row>
    <row r="96" spans="3:12">
      <c r="C96" s="369">
        <v>86</v>
      </c>
      <c r="D96" s="337">
        <v>86</v>
      </c>
      <c r="E96" s="337">
        <f t="shared" si="4"/>
        <v>86</v>
      </c>
      <c r="F96" s="443">
        <f t="shared" si="5"/>
        <v>0</v>
      </c>
      <c r="G96" s="204"/>
      <c r="H96" s="356">
        <v>79.86</v>
      </c>
      <c r="I96" s="356">
        <v>83.48</v>
      </c>
      <c r="J96" s="441">
        <v>1.1400000000000006</v>
      </c>
      <c r="K96" s="361">
        <v>0</v>
      </c>
      <c r="L96" s="334">
        <f>D96-I96-J96-K96</f>
        <v>1.3799999999999955</v>
      </c>
    </row>
    <row r="97" spans="3:12">
      <c r="C97" s="369">
        <f>378-C96</f>
        <v>292</v>
      </c>
      <c r="D97" s="337">
        <v>320</v>
      </c>
      <c r="E97" s="337">
        <f t="shared" si="4"/>
        <v>320</v>
      </c>
      <c r="F97" s="443">
        <f t="shared" si="5"/>
        <v>-28</v>
      </c>
      <c r="G97" s="204"/>
      <c r="H97" s="356">
        <v>240.78</v>
      </c>
      <c r="I97" s="443">
        <v>245.31</v>
      </c>
      <c r="J97" s="361">
        <v>11.339999999999975</v>
      </c>
      <c r="K97" s="361">
        <v>0</v>
      </c>
      <c r="L97" s="334">
        <f>D97-I97-J97-K97</f>
        <v>63.350000000000023</v>
      </c>
    </row>
    <row r="98" spans="3:12">
      <c r="C98" s="369">
        <v>5.4</v>
      </c>
      <c r="D98" s="337">
        <v>5</v>
      </c>
      <c r="E98" s="337">
        <f t="shared" si="4"/>
        <v>4.9999999999999991</v>
      </c>
      <c r="F98" s="443">
        <f t="shared" si="5"/>
        <v>0.40000000000000124</v>
      </c>
      <c r="G98" s="204"/>
      <c r="H98" s="356">
        <v>0.23</v>
      </c>
      <c r="I98" s="443">
        <v>0.23</v>
      </c>
      <c r="J98" s="361">
        <v>0.19999999999999998</v>
      </c>
      <c r="K98" s="361">
        <v>0</v>
      </c>
      <c r="L98" s="334">
        <f>D98-I98-J98-K98</f>
        <v>4.5699999999999994</v>
      </c>
    </row>
    <row r="99" spans="3:12">
      <c r="C99" s="369">
        <v>184</v>
      </c>
      <c r="D99" s="337">
        <v>80</v>
      </c>
      <c r="E99" s="337">
        <f t="shared" si="4"/>
        <v>113.32</v>
      </c>
      <c r="F99" s="443">
        <f t="shared" si="5"/>
        <v>70.680000000000007</v>
      </c>
      <c r="G99" s="204"/>
      <c r="H99" s="356">
        <v>78.53</v>
      </c>
      <c r="I99" s="443">
        <v>80.739999999999995</v>
      </c>
      <c r="J99" s="361">
        <v>32.58</v>
      </c>
      <c r="K99" s="361">
        <v>0</v>
      </c>
      <c r="L99" s="334">
        <v>0</v>
      </c>
    </row>
    <row r="100" spans="3:12">
      <c r="C100" s="369">
        <v>145</v>
      </c>
      <c r="D100" s="337">
        <v>145</v>
      </c>
      <c r="E100" s="337">
        <f t="shared" si="4"/>
        <v>145</v>
      </c>
      <c r="F100" s="443">
        <f t="shared" si="5"/>
        <v>0</v>
      </c>
      <c r="G100" s="204"/>
      <c r="H100" s="356">
        <v>50.2</v>
      </c>
      <c r="I100" s="443">
        <v>52.18</v>
      </c>
      <c r="J100" s="361">
        <v>13.54</v>
      </c>
      <c r="K100" s="361">
        <v>0</v>
      </c>
      <c r="L100" s="334">
        <f t="shared" ref="L100:L108" si="6">D100-I100-J100-K100</f>
        <v>79.28</v>
      </c>
    </row>
    <row r="101" spans="3:12">
      <c r="C101" s="369">
        <v>4</v>
      </c>
      <c r="D101" s="337">
        <v>5</v>
      </c>
      <c r="E101" s="337">
        <f t="shared" si="4"/>
        <v>5</v>
      </c>
      <c r="F101" s="443">
        <f t="shared" si="5"/>
        <v>-1</v>
      </c>
      <c r="G101" s="204"/>
      <c r="H101" s="356">
        <v>0.74</v>
      </c>
      <c r="I101" s="443">
        <v>0.79</v>
      </c>
      <c r="J101" s="361">
        <v>0.17999999999999994</v>
      </c>
      <c r="K101" s="361">
        <v>1</v>
      </c>
      <c r="L101" s="334">
        <f t="shared" si="6"/>
        <v>3.0300000000000002</v>
      </c>
    </row>
    <row r="102" spans="3:12">
      <c r="C102" s="369">
        <v>22.1</v>
      </c>
      <c r="D102" s="337">
        <v>22</v>
      </c>
      <c r="E102" s="337">
        <f t="shared" si="4"/>
        <v>22</v>
      </c>
      <c r="F102" s="443">
        <f t="shared" si="5"/>
        <v>0.10000000000000142</v>
      </c>
      <c r="G102" s="204"/>
      <c r="H102" s="356">
        <v>9.2899999999999991</v>
      </c>
      <c r="I102" s="443">
        <v>9.4499999999999993</v>
      </c>
      <c r="J102" s="361">
        <v>0.6</v>
      </c>
      <c r="K102" s="361">
        <v>1</v>
      </c>
      <c r="L102" s="334">
        <f t="shared" si="6"/>
        <v>10.950000000000001</v>
      </c>
    </row>
    <row r="103" spans="3:12">
      <c r="C103" s="369">
        <v>2</v>
      </c>
      <c r="D103" s="337">
        <v>2</v>
      </c>
      <c r="E103" s="337">
        <f t="shared" si="4"/>
        <v>2</v>
      </c>
      <c r="F103" s="443">
        <f t="shared" si="5"/>
        <v>0</v>
      </c>
      <c r="G103" s="204"/>
      <c r="H103" s="356">
        <v>0.42</v>
      </c>
      <c r="I103" s="443">
        <v>0.42</v>
      </c>
      <c r="J103" s="361">
        <v>0</v>
      </c>
      <c r="K103" s="361">
        <v>0</v>
      </c>
      <c r="L103" s="334">
        <f t="shared" si="6"/>
        <v>1.58</v>
      </c>
    </row>
    <row r="104" spans="3:12">
      <c r="C104" s="369">
        <v>49</v>
      </c>
      <c r="D104" s="337">
        <v>42</v>
      </c>
      <c r="E104" s="337">
        <f t="shared" si="4"/>
        <v>42</v>
      </c>
      <c r="F104" s="443">
        <f t="shared" si="5"/>
        <v>7</v>
      </c>
      <c r="G104" s="204"/>
      <c r="H104" s="356">
        <v>42</v>
      </c>
      <c r="I104" s="443">
        <v>42</v>
      </c>
      <c r="J104" s="361">
        <v>0</v>
      </c>
      <c r="K104" s="361">
        <v>0</v>
      </c>
      <c r="L104" s="334">
        <f t="shared" si="6"/>
        <v>0</v>
      </c>
    </row>
    <row r="105" spans="3:12">
      <c r="C105" s="369">
        <v>30</v>
      </c>
      <c r="D105" s="337">
        <v>25</v>
      </c>
      <c r="E105" s="337">
        <f t="shared" si="4"/>
        <v>25</v>
      </c>
      <c r="F105" s="443">
        <f t="shared" si="5"/>
        <v>5</v>
      </c>
      <c r="G105" s="204"/>
      <c r="H105" s="356">
        <v>24.66</v>
      </c>
      <c r="I105" s="443">
        <v>24.97</v>
      </c>
      <c r="J105" s="361">
        <v>0</v>
      </c>
      <c r="K105" s="361">
        <v>0</v>
      </c>
      <c r="L105" s="334">
        <f t="shared" si="6"/>
        <v>3.0000000000001137E-2</v>
      </c>
    </row>
    <row r="106" spans="3:12">
      <c r="C106" s="369">
        <v>6</v>
      </c>
      <c r="D106" s="337">
        <v>5</v>
      </c>
      <c r="E106" s="337">
        <f t="shared" si="4"/>
        <v>5</v>
      </c>
      <c r="F106" s="443">
        <f t="shared" si="5"/>
        <v>1</v>
      </c>
      <c r="G106" s="204"/>
      <c r="H106" s="356">
        <v>2.37</v>
      </c>
      <c r="I106" s="443">
        <v>2.37</v>
      </c>
      <c r="J106" s="361">
        <v>0</v>
      </c>
      <c r="K106" s="361">
        <v>0</v>
      </c>
      <c r="L106" s="334">
        <f t="shared" si="6"/>
        <v>2.63</v>
      </c>
    </row>
    <row r="107" spans="3:12">
      <c r="C107" s="369">
        <v>8</v>
      </c>
      <c r="D107" s="337">
        <v>5</v>
      </c>
      <c r="E107" s="337">
        <f t="shared" si="4"/>
        <v>5</v>
      </c>
      <c r="F107" s="443">
        <f t="shared" si="5"/>
        <v>3</v>
      </c>
      <c r="G107" s="204"/>
      <c r="H107" s="356">
        <v>3.25</v>
      </c>
      <c r="I107" s="443">
        <v>3.48</v>
      </c>
      <c r="J107" s="361">
        <v>0.33000000000000007</v>
      </c>
      <c r="K107" s="361">
        <v>0.2</v>
      </c>
      <c r="L107" s="334">
        <f t="shared" si="6"/>
        <v>0.99</v>
      </c>
    </row>
    <row r="108" spans="3:12">
      <c r="C108" s="369"/>
      <c r="D108" s="337"/>
      <c r="E108" s="337">
        <f t="shared" si="4"/>
        <v>0</v>
      </c>
      <c r="F108" s="443">
        <f t="shared" si="5"/>
        <v>0</v>
      </c>
      <c r="G108" s="204"/>
      <c r="H108" s="356">
        <v>0</v>
      </c>
      <c r="I108" s="443">
        <v>0</v>
      </c>
      <c r="J108" s="361">
        <v>0</v>
      </c>
      <c r="K108" s="361">
        <v>0</v>
      </c>
      <c r="L108" s="334">
        <f t="shared" si="6"/>
        <v>0</v>
      </c>
    </row>
    <row r="109" spans="3:12">
      <c r="C109" s="362">
        <v>28.69</v>
      </c>
      <c r="D109" s="337">
        <v>0</v>
      </c>
      <c r="E109" s="337">
        <f t="shared" si="4"/>
        <v>28.69</v>
      </c>
      <c r="F109" s="443">
        <f t="shared" si="5"/>
        <v>0</v>
      </c>
      <c r="G109" s="204"/>
      <c r="H109" s="356">
        <v>0</v>
      </c>
      <c r="I109" s="443">
        <v>0</v>
      </c>
      <c r="J109" s="361">
        <v>28.69</v>
      </c>
      <c r="K109" s="361">
        <v>0</v>
      </c>
      <c r="L109" s="334">
        <v>0</v>
      </c>
    </row>
    <row r="110" spans="3:12">
      <c r="C110" s="205">
        <f>SUM(C89:C109)</f>
        <v>1085.49</v>
      </c>
      <c r="D110" s="367">
        <f>SUM(D89:D109)</f>
        <v>987</v>
      </c>
      <c r="E110" s="367">
        <f>SUM(E89:E109)</f>
        <v>1049.2</v>
      </c>
      <c r="F110" s="401">
        <f t="shared" si="5"/>
        <v>36.289999999999964</v>
      </c>
      <c r="G110" s="204"/>
      <c r="H110" s="442">
        <f>SUM(H89:H109)</f>
        <v>706.95999999999992</v>
      </c>
      <c r="I110" s="442">
        <f>SUM(I89:I109)</f>
        <v>721.31</v>
      </c>
      <c r="J110" s="442">
        <f>SUM(J89:J109)</f>
        <v>103.10999999999997</v>
      </c>
      <c r="K110" s="442">
        <f>SUM(K89:K109)</f>
        <v>2.2000000000000002</v>
      </c>
      <c r="L110" s="218">
        <f>SUM(L89:L109)</f>
        <v>222.58</v>
      </c>
    </row>
    <row r="111" spans="3:12">
      <c r="C111" s="222"/>
      <c r="D111" s="222"/>
      <c r="E111" s="222"/>
      <c r="F111" s="222"/>
      <c r="G111" s="222"/>
      <c r="H111" s="353"/>
      <c r="I111" s="222"/>
      <c r="J111" s="359"/>
      <c r="K111" s="359"/>
      <c r="L111" s="223"/>
    </row>
    <row r="112" spans="3:12" ht="24">
      <c r="C112" s="369">
        <v>5</v>
      </c>
      <c r="D112" s="337">
        <v>48</v>
      </c>
      <c r="E112" s="337">
        <f t="shared" ref="E112:E121" si="7">I112+J112+K112+L112</f>
        <v>48</v>
      </c>
      <c r="F112" s="443">
        <f t="shared" ref="F112:F122" si="8">C112-E112</f>
        <v>-43</v>
      </c>
      <c r="G112" s="369" t="s">
        <v>554</v>
      </c>
      <c r="H112" s="443">
        <v>11.32</v>
      </c>
      <c r="I112" s="443">
        <v>11.32</v>
      </c>
      <c r="J112" s="364">
        <v>2</v>
      </c>
      <c r="K112" s="364">
        <v>1</v>
      </c>
      <c r="L112" s="365">
        <f>D112-I112-J112-K112</f>
        <v>33.68</v>
      </c>
    </row>
    <row r="113" spans="3:12" ht="24">
      <c r="C113" s="369">
        <v>94</v>
      </c>
      <c r="D113" s="337">
        <v>70</v>
      </c>
      <c r="E113" s="337">
        <f t="shared" si="7"/>
        <v>70</v>
      </c>
      <c r="F113" s="443">
        <f t="shared" si="8"/>
        <v>24</v>
      </c>
      <c r="G113" s="369" t="s">
        <v>556</v>
      </c>
      <c r="H113" s="443">
        <v>69.8</v>
      </c>
      <c r="I113" s="443">
        <v>69.8</v>
      </c>
      <c r="J113" s="364">
        <v>0.2</v>
      </c>
      <c r="K113" s="364">
        <v>0</v>
      </c>
      <c r="L113" s="365">
        <v>0</v>
      </c>
    </row>
    <row r="114" spans="3:12" ht="24">
      <c r="C114" s="369">
        <v>120</v>
      </c>
      <c r="D114" s="337">
        <v>127</v>
      </c>
      <c r="E114" s="337">
        <f t="shared" si="7"/>
        <v>127</v>
      </c>
      <c r="F114" s="443">
        <f t="shared" si="8"/>
        <v>-7</v>
      </c>
      <c r="G114" s="369" t="s">
        <v>558</v>
      </c>
      <c r="H114" s="443">
        <v>107.77</v>
      </c>
      <c r="I114" s="443">
        <v>109.73</v>
      </c>
      <c r="J114" s="364">
        <v>4.32</v>
      </c>
      <c r="K114" s="364">
        <v>0</v>
      </c>
      <c r="L114" s="365">
        <f>D114-I114-J114-K114</f>
        <v>12.949999999999996</v>
      </c>
    </row>
    <row r="115" spans="3:12" ht="60">
      <c r="C115" s="369">
        <v>41</v>
      </c>
      <c r="D115" s="337">
        <v>40</v>
      </c>
      <c r="E115" s="337">
        <f t="shared" si="7"/>
        <v>40.78</v>
      </c>
      <c r="F115" s="443">
        <f t="shared" si="8"/>
        <v>0.21999999999999886</v>
      </c>
      <c r="G115" s="369" t="s">
        <v>571</v>
      </c>
      <c r="H115" s="443">
        <v>38.69</v>
      </c>
      <c r="I115" s="443">
        <v>40.78</v>
      </c>
      <c r="J115" s="364">
        <v>0</v>
      </c>
      <c r="K115" s="364">
        <v>0</v>
      </c>
      <c r="L115" s="365">
        <v>0</v>
      </c>
    </row>
    <row r="116" spans="3:12">
      <c r="C116" s="369">
        <v>2</v>
      </c>
      <c r="D116" s="337">
        <v>2</v>
      </c>
      <c r="E116" s="337">
        <f t="shared" si="7"/>
        <v>2</v>
      </c>
      <c r="F116" s="443">
        <f t="shared" si="8"/>
        <v>0</v>
      </c>
      <c r="G116" s="204"/>
      <c r="H116" s="356">
        <v>0</v>
      </c>
      <c r="I116" s="443">
        <v>0</v>
      </c>
      <c r="J116" s="364">
        <v>0</v>
      </c>
      <c r="K116" s="364">
        <v>0</v>
      </c>
      <c r="L116" s="365">
        <f>D116-I116-J116-K116</f>
        <v>2</v>
      </c>
    </row>
    <row r="117" spans="3:12">
      <c r="C117" s="369"/>
      <c r="D117" s="337"/>
      <c r="E117" s="337">
        <f t="shared" si="7"/>
        <v>0</v>
      </c>
      <c r="F117" s="443">
        <f t="shared" si="8"/>
        <v>0</v>
      </c>
      <c r="G117" s="204"/>
      <c r="H117" s="356">
        <v>0</v>
      </c>
      <c r="I117" s="443">
        <v>0</v>
      </c>
      <c r="J117" s="364">
        <v>0</v>
      </c>
      <c r="K117" s="364">
        <v>0</v>
      </c>
      <c r="L117" s="365">
        <f>D117-I117-J117-K117</f>
        <v>0</v>
      </c>
    </row>
    <row r="118" spans="3:12">
      <c r="C118" s="369"/>
      <c r="D118" s="337"/>
      <c r="E118" s="337">
        <f t="shared" si="7"/>
        <v>0</v>
      </c>
      <c r="F118" s="443">
        <f t="shared" si="8"/>
        <v>0</v>
      </c>
      <c r="G118" s="204"/>
      <c r="H118" s="356">
        <v>0</v>
      </c>
      <c r="I118" s="443">
        <v>0</v>
      </c>
      <c r="J118" s="364">
        <v>0</v>
      </c>
      <c r="K118" s="364">
        <v>0</v>
      </c>
      <c r="L118" s="365">
        <f>D118-I118-J118-K118</f>
        <v>0</v>
      </c>
    </row>
    <row r="119" spans="3:12">
      <c r="C119" s="369">
        <v>1</v>
      </c>
      <c r="D119" s="337">
        <v>2</v>
      </c>
      <c r="E119" s="337">
        <f t="shared" si="7"/>
        <v>2</v>
      </c>
      <c r="F119" s="443">
        <f t="shared" si="8"/>
        <v>-1</v>
      </c>
      <c r="G119" s="204"/>
      <c r="H119" s="356">
        <v>0</v>
      </c>
      <c r="I119" s="443">
        <v>0</v>
      </c>
      <c r="J119" s="364">
        <v>0</v>
      </c>
      <c r="K119" s="364">
        <v>0</v>
      </c>
      <c r="L119" s="365">
        <f>D119-I119-J119-K119</f>
        <v>2</v>
      </c>
    </row>
    <row r="120" spans="3:12">
      <c r="C120" s="369">
        <v>1264.3399999999999</v>
      </c>
      <c r="D120" s="337">
        <v>1058</v>
      </c>
      <c r="E120" s="337">
        <f t="shared" si="7"/>
        <v>1264.3399999999999</v>
      </c>
      <c r="F120" s="443">
        <f t="shared" si="8"/>
        <v>0</v>
      </c>
      <c r="G120" s="204"/>
      <c r="H120" s="356">
        <v>1231.73</v>
      </c>
      <c r="I120" s="443">
        <v>1264.3399999999999</v>
      </c>
      <c r="J120" s="364">
        <v>0</v>
      </c>
      <c r="K120" s="364">
        <v>0</v>
      </c>
      <c r="L120" s="365">
        <v>0</v>
      </c>
    </row>
    <row r="121" spans="3:12">
      <c r="C121" s="348">
        <v>17</v>
      </c>
      <c r="D121" s="349">
        <v>0</v>
      </c>
      <c r="E121" s="337">
        <f t="shared" si="7"/>
        <v>20.9</v>
      </c>
      <c r="F121" s="443">
        <f t="shared" si="8"/>
        <v>-3.8999999999999986</v>
      </c>
      <c r="G121" s="204"/>
      <c r="H121" s="356">
        <v>18.149999999999999</v>
      </c>
      <c r="I121" s="350">
        <v>20.9</v>
      </c>
      <c r="J121" s="364">
        <v>0</v>
      </c>
      <c r="K121" s="364">
        <v>0</v>
      </c>
      <c r="L121" s="365">
        <v>0</v>
      </c>
    </row>
    <row r="122" spans="3:12">
      <c r="C122" s="345">
        <f>SUM(C112:C121)</f>
        <v>1544.34</v>
      </c>
      <c r="D122" s="346">
        <f>SUM(D112:D121)</f>
        <v>1347</v>
      </c>
      <c r="E122" s="346">
        <f>SUM(E112:E121)</f>
        <v>1575.02</v>
      </c>
      <c r="F122" s="402">
        <f t="shared" si="8"/>
        <v>-30.680000000000064</v>
      </c>
      <c r="G122" s="204"/>
      <c r="H122" s="442">
        <f>SUM(H112:H121)</f>
        <v>1477.46</v>
      </c>
      <c r="I122" s="442">
        <f>SUM(I112:I121)</f>
        <v>1516.8700000000001</v>
      </c>
      <c r="J122" s="442">
        <f>SUM(J112:J121)</f>
        <v>6.5200000000000005</v>
      </c>
      <c r="K122" s="442">
        <f>SUM(K112:K121)</f>
        <v>1</v>
      </c>
      <c r="L122" s="366">
        <f>SUM(L112:L121)</f>
        <v>50.629999999999995</v>
      </c>
    </row>
    <row r="123" spans="3:12">
      <c r="C123" s="369"/>
      <c r="D123" s="369"/>
      <c r="E123" s="369"/>
      <c r="F123" s="443"/>
      <c r="G123" s="443"/>
      <c r="H123" s="443"/>
      <c r="I123" s="443"/>
      <c r="J123" s="364"/>
      <c r="K123" s="364"/>
      <c r="L123" s="365"/>
    </row>
    <row r="124" spans="3:12">
      <c r="C124" s="333">
        <f>C79+C87+C110+C122</f>
        <v>8584.33</v>
      </c>
      <c r="D124" s="206">
        <f>D79+D87+D110+D122</f>
        <v>8250</v>
      </c>
      <c r="E124" s="206">
        <f>E79+E87+E110+E122</f>
        <v>8540.2199999999993</v>
      </c>
      <c r="F124" s="338">
        <f>C124-E124</f>
        <v>44.110000000000582</v>
      </c>
      <c r="G124" s="442"/>
      <c r="H124" s="442">
        <f>H79+H87+H110+H122</f>
        <v>7771.63</v>
      </c>
      <c r="I124" s="442">
        <f>I79+I87+I110+I122</f>
        <v>7884.6799999999994</v>
      </c>
      <c r="J124" s="442">
        <f>J79+J87+J110+J122</f>
        <v>167.67</v>
      </c>
      <c r="K124" s="442">
        <f>K79+K87+K110+K122</f>
        <v>29.2</v>
      </c>
      <c r="L124" s="218">
        <f>L79+L87+L110+L122</f>
        <v>458.67</v>
      </c>
    </row>
  </sheetData>
  <mergeCells count="21">
    <mergeCell ref="J68:J69"/>
    <mergeCell ref="K68:K69"/>
    <mergeCell ref="L68:L69"/>
    <mergeCell ref="G72:G79"/>
    <mergeCell ref="G81:G87"/>
    <mergeCell ref="I68:I69"/>
    <mergeCell ref="C68:C69"/>
    <mergeCell ref="D68:E69"/>
    <mergeCell ref="F68:F69"/>
    <mergeCell ref="G68:G69"/>
    <mergeCell ref="H68:H69"/>
    <mergeCell ref="P10:Q10"/>
    <mergeCell ref="G13:G20"/>
    <mergeCell ref="G22:G28"/>
    <mergeCell ref="J61:L61"/>
    <mergeCell ref="A5:L5"/>
    <mergeCell ref="A7:B7"/>
    <mergeCell ref="D7:L7"/>
    <mergeCell ref="A8:B8"/>
    <mergeCell ref="D8:L8"/>
    <mergeCell ref="D10:E10"/>
  </mergeCells>
  <pageMargins left="0.7" right="0.7" top="0.75" bottom="0.75" header="0.3" footer="0.3"/>
  <pageSetup paperSize="9" scale="98" fitToHeight="2" orientation="portrait" horizontalDpi="4294967293" r:id="rId1"/>
  <legacyDrawing r:id="rId2"/>
</worksheet>
</file>

<file path=xl/worksheets/sheet12.xml><?xml version="1.0" encoding="utf-8"?>
<worksheet xmlns="http://schemas.openxmlformats.org/spreadsheetml/2006/main" xmlns:r="http://schemas.openxmlformats.org/officeDocument/2006/relationships">
  <sheetPr>
    <tabColor rgb="FF00B050"/>
  </sheetPr>
  <dimension ref="A1:G49"/>
  <sheetViews>
    <sheetView topLeftCell="A10" workbookViewId="0">
      <selection activeCell="C19" sqref="C19"/>
    </sheetView>
  </sheetViews>
  <sheetFormatPr defaultRowHeight="12.75"/>
  <cols>
    <col min="1" max="1" width="39.6640625" customWidth="1"/>
    <col min="2" max="2" width="26.6640625" customWidth="1"/>
    <col min="3" max="3" width="18.1640625" customWidth="1"/>
    <col min="4" max="4" width="16.6640625" customWidth="1"/>
    <col min="5" max="5" width="20.6640625" customWidth="1"/>
    <col min="6" max="6" width="13.1640625" customWidth="1"/>
    <col min="7" max="7" width="14.5" customWidth="1"/>
  </cols>
  <sheetData>
    <row r="1" spans="1:7" ht="15.75">
      <c r="A1" s="169"/>
      <c r="B1" s="170"/>
      <c r="C1" s="170"/>
      <c r="D1" s="170"/>
      <c r="E1" s="170"/>
      <c r="F1" s="170"/>
      <c r="G1" s="581" t="s">
        <v>869</v>
      </c>
    </row>
    <row r="2" spans="1:7" ht="15.75">
      <c r="A2" s="448"/>
      <c r="G2" s="219" t="s">
        <v>937</v>
      </c>
    </row>
    <row r="3" spans="1:7">
      <c r="A3" s="448"/>
      <c r="G3" s="449"/>
    </row>
    <row r="4" spans="1:7" ht="20.25">
      <c r="A4" s="1589" t="s">
        <v>938</v>
      </c>
      <c r="B4" s="1590"/>
      <c r="C4" s="1590"/>
      <c r="D4" s="1590"/>
      <c r="E4" s="1590"/>
      <c r="F4" s="1590"/>
      <c r="G4" s="1591"/>
    </row>
    <row r="5" spans="1:7">
      <c r="A5" s="448"/>
      <c r="G5" s="449"/>
    </row>
    <row r="6" spans="1:7">
      <c r="A6" s="448"/>
      <c r="G6" s="449"/>
    </row>
    <row r="7" spans="1:7" ht="18.75">
      <c r="A7" s="535" t="s">
        <v>1031</v>
      </c>
      <c r="C7" s="531" t="s">
        <v>996</v>
      </c>
      <c r="G7" s="449"/>
    </row>
    <row r="8" spans="1:7" ht="18.75">
      <c r="A8" s="535" t="s">
        <v>1032</v>
      </c>
      <c r="C8" s="531" t="s">
        <v>461</v>
      </c>
      <c r="G8" s="449"/>
    </row>
    <row r="9" spans="1:7" ht="21.75">
      <c r="A9" s="535" t="s">
        <v>1033</v>
      </c>
      <c r="C9" s="531" t="s">
        <v>976</v>
      </c>
      <c r="G9" s="449"/>
    </row>
    <row r="10" spans="1:7" ht="21.75">
      <c r="A10" s="535" t="s">
        <v>1037</v>
      </c>
      <c r="C10" s="656">
        <f>form5A!B39</f>
        <v>42706</v>
      </c>
      <c r="G10" s="449"/>
    </row>
    <row r="11" spans="1:7">
      <c r="A11" s="448"/>
      <c r="G11" s="449"/>
    </row>
    <row r="12" spans="1:7">
      <c r="A12" s="448"/>
      <c r="G12" s="449"/>
    </row>
    <row r="13" spans="1:7" ht="15.75">
      <c r="A13" s="577"/>
      <c r="B13" s="1595" t="s">
        <v>969</v>
      </c>
      <c r="C13" s="1595"/>
      <c r="D13" s="561" t="s">
        <v>970</v>
      </c>
      <c r="E13" s="561"/>
      <c r="F13" s="1595" t="s">
        <v>971</v>
      </c>
      <c r="G13" s="1596"/>
    </row>
    <row r="14" spans="1:7" ht="18.75">
      <c r="A14" s="577"/>
      <c r="B14" s="1595" t="s">
        <v>977</v>
      </c>
      <c r="C14" s="1595"/>
      <c r="D14" s="1592" t="s">
        <v>977</v>
      </c>
      <c r="E14" s="1593"/>
      <c r="F14" s="1595" t="s">
        <v>977</v>
      </c>
      <c r="G14" s="1596"/>
    </row>
    <row r="15" spans="1:7" ht="18.75">
      <c r="A15" s="578">
        <v>1</v>
      </c>
      <c r="B15" s="559">
        <v>2</v>
      </c>
      <c r="C15" s="559">
        <v>3</v>
      </c>
      <c r="D15" s="559">
        <v>4</v>
      </c>
      <c r="E15" s="559">
        <v>5</v>
      </c>
      <c r="F15" s="559">
        <v>6</v>
      </c>
      <c r="G15" s="560">
        <v>7</v>
      </c>
    </row>
    <row r="16" spans="1:7" ht="18.75">
      <c r="A16" s="540"/>
      <c r="B16" s="559" t="s">
        <v>973</v>
      </c>
      <c r="C16" s="559" t="s">
        <v>348</v>
      </c>
      <c r="D16" s="559" t="s">
        <v>973</v>
      </c>
      <c r="E16" s="559" t="s">
        <v>348</v>
      </c>
      <c r="F16" s="559" t="s">
        <v>973</v>
      </c>
      <c r="G16" s="560" t="s">
        <v>348</v>
      </c>
    </row>
    <row r="17" spans="1:7" ht="18.75">
      <c r="A17" s="540" t="str">
        <f>'Form 13'!B15</f>
        <v>Loan-1 (PFC-1)</v>
      </c>
      <c r="B17" s="559" t="s">
        <v>352</v>
      </c>
      <c r="C17" s="583">
        <f>'Form 13'!E16</f>
        <v>3980</v>
      </c>
      <c r="D17" s="582" t="s">
        <v>352</v>
      </c>
      <c r="E17" s="586">
        <f>'Form 13'!F16</f>
        <v>3980</v>
      </c>
      <c r="F17" s="582" t="s">
        <v>352</v>
      </c>
      <c r="G17" s="1597">
        <f>F20</f>
        <v>4660.8599999999997</v>
      </c>
    </row>
    <row r="18" spans="1:7" ht="18.75">
      <c r="A18" s="540" t="str">
        <f>'Form 13'!B26</f>
        <v>Loan-2 (PFC-2)</v>
      </c>
      <c r="B18" s="559" t="s">
        <v>352</v>
      </c>
      <c r="C18" s="583">
        <v>660</v>
      </c>
      <c r="D18" s="582" t="s">
        <v>352</v>
      </c>
      <c r="E18" s="586">
        <f>'Form 13'!F27</f>
        <v>491</v>
      </c>
      <c r="F18" s="582" t="s">
        <v>352</v>
      </c>
      <c r="G18" s="1598"/>
    </row>
    <row r="19" spans="1:7" ht="18.75">
      <c r="A19" s="540" t="str">
        <f>'Form 13'!B37</f>
        <v>Loan-3 (REC)</v>
      </c>
      <c r="B19" s="559" t="s">
        <v>352</v>
      </c>
      <c r="C19" s="583">
        <v>660</v>
      </c>
      <c r="D19" s="582" t="s">
        <v>352</v>
      </c>
      <c r="E19" s="582">
        <f>'Form 13'!F38</f>
        <v>153.11000000000001</v>
      </c>
      <c r="F19" s="582" t="s">
        <v>352</v>
      </c>
      <c r="G19" s="1599"/>
    </row>
    <row r="20" spans="1:7" ht="18.75">
      <c r="A20" s="540" t="s">
        <v>458</v>
      </c>
      <c r="B20" s="1594">
        <f>SUM(C17:C19)</f>
        <v>5300</v>
      </c>
      <c r="C20" s="1594"/>
      <c r="D20" s="1594">
        <f>SUM(E17:E19)</f>
        <v>4624.1099999999997</v>
      </c>
      <c r="E20" s="1594"/>
      <c r="F20" s="1604">
        <f>4660.86</f>
        <v>4660.8599999999997</v>
      </c>
      <c r="G20" s="1603"/>
    </row>
    <row r="21" spans="1:7" ht="18.75">
      <c r="A21" s="540"/>
      <c r="B21" s="538"/>
      <c r="C21" s="538"/>
      <c r="D21" s="538"/>
      <c r="E21" s="538"/>
      <c r="F21" s="538"/>
      <c r="G21" s="539"/>
    </row>
    <row r="22" spans="1:7" ht="18.75">
      <c r="A22" s="540" t="s">
        <v>972</v>
      </c>
      <c r="B22" s="538"/>
      <c r="C22" s="538"/>
      <c r="D22" s="538"/>
      <c r="E22" s="538"/>
      <c r="F22" s="538"/>
      <c r="G22" s="539"/>
    </row>
    <row r="23" spans="1:7" ht="18.75">
      <c r="A23" s="579" t="s">
        <v>973</v>
      </c>
      <c r="B23" s="1556" t="s">
        <v>352</v>
      </c>
      <c r="C23" s="1605"/>
      <c r="D23" s="1608" t="s">
        <v>352</v>
      </c>
      <c r="E23" s="1609"/>
      <c r="F23" s="1608" t="s">
        <v>352</v>
      </c>
      <c r="G23" s="1612"/>
    </row>
    <row r="24" spans="1:7" ht="18.75">
      <c r="A24" s="579" t="s">
        <v>348</v>
      </c>
      <c r="B24" s="1606">
        <f>B26</f>
        <v>3284.33</v>
      </c>
      <c r="C24" s="1607"/>
      <c r="D24" s="1608">
        <f>D26</f>
        <v>3260.5699999999997</v>
      </c>
      <c r="E24" s="1609"/>
      <c r="F24" s="1608">
        <f>F26</f>
        <v>2044.8500000000004</v>
      </c>
      <c r="G24" s="1612"/>
    </row>
    <row r="25" spans="1:7" ht="18.75">
      <c r="A25" s="540"/>
      <c r="B25" s="538"/>
      <c r="C25" s="538"/>
      <c r="D25" s="538"/>
      <c r="E25" s="538"/>
      <c r="F25" s="538"/>
      <c r="G25" s="539"/>
    </row>
    <row r="26" spans="1:7" ht="18.75">
      <c r="A26" s="540" t="s">
        <v>974</v>
      </c>
      <c r="B26" s="1610">
        <f>'Form 5B '!C65-'Form 6'!B20</f>
        <v>3284.33</v>
      </c>
      <c r="C26" s="1611"/>
      <c r="D26" s="1600">
        <f>'Form 5B '!E65-'Form 6'!D20</f>
        <v>3260.5699999999997</v>
      </c>
      <c r="E26" s="1601"/>
      <c r="F26" s="1602">
        <f>'App-IV input Capital cost'!E12-'Form 6'!F20</f>
        <v>2044.8500000000004</v>
      </c>
      <c r="G26" s="1603"/>
    </row>
    <row r="27" spans="1:7" ht="18.75">
      <c r="A27" s="540" t="s">
        <v>975</v>
      </c>
      <c r="B27" s="580">
        <f>ROUND(B20/(B20+B26)*100,0)</f>
        <v>62</v>
      </c>
      <c r="C27" s="580">
        <f>ROUND(B26/(B20+B26)*100,0)</f>
        <v>38</v>
      </c>
      <c r="D27" s="559">
        <f>ROUND(D20/(D20+D26)*100,0)</f>
        <v>59</v>
      </c>
      <c r="E27" s="559">
        <f>ROUND(D26/(D20+D26)*100,0)</f>
        <v>41</v>
      </c>
      <c r="F27" s="559">
        <f>ROUND(F20/(F20+F26)*100,0)</f>
        <v>70</v>
      </c>
      <c r="G27" s="560">
        <f>ROUND(F26/(F20+F26)*100,0)</f>
        <v>30</v>
      </c>
    </row>
    <row r="28" spans="1:7">
      <c r="A28" s="448"/>
      <c r="G28" s="449"/>
    </row>
    <row r="29" spans="1:7">
      <c r="A29" s="448"/>
      <c r="G29" s="449"/>
    </row>
    <row r="30" spans="1:7" ht="18.75">
      <c r="A30" s="532" t="s">
        <v>978</v>
      </c>
      <c r="G30" s="449"/>
    </row>
    <row r="31" spans="1:7" ht="18.75">
      <c r="A31" s="532" t="s">
        <v>979</v>
      </c>
      <c r="G31" s="449"/>
    </row>
    <row r="32" spans="1:7" ht="18.75">
      <c r="A32" s="532" t="s">
        <v>980</v>
      </c>
      <c r="G32" s="449"/>
    </row>
    <row r="33" spans="1:7">
      <c r="A33" s="448"/>
      <c r="G33" s="449"/>
    </row>
    <row r="34" spans="1:7" ht="18.75">
      <c r="A34" s="448"/>
      <c r="F34" s="576" t="s">
        <v>822</v>
      </c>
      <c r="G34" s="449"/>
    </row>
    <row r="35" spans="1:7">
      <c r="A35" s="448"/>
      <c r="G35" s="449"/>
    </row>
    <row r="36" spans="1:7" ht="13.5" thickBot="1">
      <c r="A36" s="175"/>
      <c r="B36" s="176"/>
      <c r="C36" s="176"/>
      <c r="D36" s="176"/>
      <c r="E36" s="176"/>
      <c r="F36" s="176"/>
      <c r="G36" s="177"/>
    </row>
    <row r="39" spans="1:7">
      <c r="B39" s="575"/>
    </row>
    <row r="49" spans="2:2">
      <c r="B49" t="str">
        <f>""</f>
        <v/>
      </c>
    </row>
  </sheetData>
  <mergeCells count="19">
    <mergeCell ref="D26:E26"/>
    <mergeCell ref="F26:G26"/>
    <mergeCell ref="F20:G20"/>
    <mergeCell ref="B23:C23"/>
    <mergeCell ref="B24:C24"/>
    <mergeCell ref="D23:E23"/>
    <mergeCell ref="B20:C20"/>
    <mergeCell ref="B26:C26"/>
    <mergeCell ref="D24:E24"/>
    <mergeCell ref="F23:G23"/>
    <mergeCell ref="F24:G24"/>
    <mergeCell ref="A4:G4"/>
    <mergeCell ref="D14:E14"/>
    <mergeCell ref="D20:E20"/>
    <mergeCell ref="B13:C13"/>
    <mergeCell ref="B14:C14"/>
    <mergeCell ref="F13:G13"/>
    <mergeCell ref="F14:G14"/>
    <mergeCell ref="G17:G19"/>
  </mergeCells>
  <pageMargins left="0.70866141732283472" right="0.70866141732283472" top="0.74803149606299213" bottom="0.74803149606299213" header="0.31496062992125984" footer="0.31496062992125984"/>
  <pageSetup scale="82" orientation="landscape" r:id="rId1"/>
  <rowBreaks count="1" manualBreakCount="1">
    <brk id="36" max="16383" man="1"/>
  </rowBreaks>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D55"/>
  <sheetViews>
    <sheetView workbookViewId="0">
      <selection activeCell="I15" sqref="I15"/>
    </sheetView>
  </sheetViews>
  <sheetFormatPr defaultRowHeight="12.75"/>
  <cols>
    <col min="1" max="1" width="34.1640625" customWidth="1"/>
    <col min="2" max="2" width="27.33203125" customWidth="1"/>
    <col min="3" max="3" width="32.83203125" customWidth="1"/>
    <col min="4" max="4" width="25.1640625" customWidth="1"/>
  </cols>
  <sheetData>
    <row r="1" spans="1:4" ht="15">
      <c r="A1" s="807"/>
      <c r="B1" s="808"/>
      <c r="C1" s="808"/>
      <c r="D1" s="809" t="s">
        <v>869</v>
      </c>
    </row>
    <row r="2" spans="1:4" ht="15">
      <c r="A2" s="182"/>
      <c r="B2" s="180"/>
      <c r="C2" s="180"/>
      <c r="D2" s="810" t="s">
        <v>939</v>
      </c>
    </row>
    <row r="3" spans="1:4" ht="15">
      <c r="A3" s="182"/>
      <c r="B3" s="180"/>
      <c r="C3" s="180"/>
      <c r="D3" s="810"/>
    </row>
    <row r="4" spans="1:4" ht="15.75">
      <c r="A4" s="1615" t="s">
        <v>823</v>
      </c>
      <c r="B4" s="1616"/>
      <c r="C4" s="1616"/>
      <c r="D4" s="1617"/>
    </row>
    <row r="5" spans="1:4" ht="14.25">
      <c r="A5" s="811"/>
      <c r="B5" s="1614"/>
      <c r="C5" s="1614"/>
      <c r="D5" s="812"/>
    </row>
    <row r="6" spans="1:4" ht="15">
      <c r="A6" s="182"/>
      <c r="B6" s="180"/>
      <c r="C6" s="180"/>
      <c r="D6" s="813"/>
    </row>
    <row r="7" spans="1:4" ht="15">
      <c r="A7" s="811" t="s">
        <v>1031</v>
      </c>
      <c r="B7" s="266" t="str">
        <f>'Energy Charges'!C6</f>
        <v>The Singareni Collieries Company Ltd</v>
      </c>
      <c r="C7" s="180"/>
      <c r="D7" s="813"/>
    </row>
    <row r="8" spans="1:4" ht="15">
      <c r="A8" s="811" t="s">
        <v>1032</v>
      </c>
      <c r="B8" s="266" t="str">
        <f>'Energy Charges'!C7</f>
        <v>Singareni Thermal Power Project</v>
      </c>
      <c r="C8" s="180"/>
      <c r="D8" s="813"/>
    </row>
    <row r="9" spans="1:4" ht="15">
      <c r="A9" s="182"/>
      <c r="B9" s="180"/>
      <c r="C9" s="180"/>
      <c r="D9" s="813"/>
    </row>
    <row r="10" spans="1:4" ht="15">
      <c r="A10" s="182"/>
      <c r="B10" s="180"/>
      <c r="C10" s="180"/>
      <c r="D10" s="813"/>
    </row>
    <row r="11" spans="1:4" ht="15">
      <c r="A11" s="182"/>
      <c r="B11" s="180"/>
      <c r="C11" s="180"/>
      <c r="D11" s="814" t="s">
        <v>821</v>
      </c>
    </row>
    <row r="12" spans="1:4" ht="14.25">
      <c r="A12" s="815" t="s">
        <v>418</v>
      </c>
      <c r="B12" s="816" t="s">
        <v>824</v>
      </c>
      <c r="C12" s="817" t="s">
        <v>825</v>
      </c>
      <c r="D12" s="818" t="s">
        <v>826</v>
      </c>
    </row>
    <row r="13" spans="1:4" ht="14.25">
      <c r="A13" s="819">
        <v>1</v>
      </c>
      <c r="B13" s="820">
        <v>2</v>
      </c>
      <c r="C13" s="821">
        <v>3</v>
      </c>
      <c r="D13" s="822">
        <v>4</v>
      </c>
    </row>
    <row r="14" spans="1:4" ht="15">
      <c r="A14" s="823"/>
      <c r="B14" s="824"/>
      <c r="C14" s="825"/>
      <c r="D14" s="826"/>
    </row>
    <row r="15" spans="1:4" ht="15.75">
      <c r="A15" s="837" t="s">
        <v>1066</v>
      </c>
      <c r="B15" s="286" t="s">
        <v>819</v>
      </c>
      <c r="C15" s="286" t="s">
        <v>835</v>
      </c>
      <c r="D15" s="826" t="s">
        <v>820</v>
      </c>
    </row>
    <row r="16" spans="1:4" ht="15.75">
      <c r="A16" s="837" t="s">
        <v>1067</v>
      </c>
      <c r="B16" s="286" t="s">
        <v>817</v>
      </c>
      <c r="C16" s="286" t="s">
        <v>817</v>
      </c>
      <c r="D16" s="296" t="s">
        <v>817</v>
      </c>
    </row>
    <row r="17" spans="1:4" ht="15">
      <c r="A17" s="838" t="s">
        <v>1068</v>
      </c>
      <c r="B17" s="827">
        <v>3980</v>
      </c>
      <c r="C17" s="827">
        <v>660</v>
      </c>
      <c r="D17" s="828">
        <v>660</v>
      </c>
    </row>
    <row r="18" spans="1:4" ht="44.25">
      <c r="A18" s="837" t="s">
        <v>1069</v>
      </c>
      <c r="B18" s="827">
        <v>3980</v>
      </c>
      <c r="C18" s="829">
        <f>'Form 13'!E32</f>
        <v>491</v>
      </c>
      <c r="D18" s="830">
        <f>'Form 13'!E43</f>
        <v>153.11000000000001</v>
      </c>
    </row>
    <row r="19" spans="1:4" ht="30">
      <c r="A19" s="837" t="s">
        <v>1070</v>
      </c>
      <c r="B19" s="185" t="s">
        <v>833</v>
      </c>
      <c r="C19" s="185" t="s">
        <v>833</v>
      </c>
      <c r="D19" s="295" t="s">
        <v>833</v>
      </c>
    </row>
    <row r="20" spans="1:4" ht="28.5">
      <c r="A20" s="838" t="s">
        <v>1071</v>
      </c>
      <c r="B20" s="831" t="s">
        <v>352</v>
      </c>
      <c r="C20" s="831" t="s">
        <v>352</v>
      </c>
      <c r="D20" s="832" t="s">
        <v>352</v>
      </c>
    </row>
    <row r="21" spans="1:4" ht="30">
      <c r="A21" s="837" t="s">
        <v>1072</v>
      </c>
      <c r="B21" s="831" t="s">
        <v>352</v>
      </c>
      <c r="C21" s="831" t="s">
        <v>352</v>
      </c>
      <c r="D21" s="832" t="s">
        <v>352</v>
      </c>
    </row>
    <row r="22" spans="1:4" ht="15.75">
      <c r="A22" s="837" t="s">
        <v>1073</v>
      </c>
      <c r="B22" s="831" t="s">
        <v>352</v>
      </c>
      <c r="C22" s="831" t="s">
        <v>352</v>
      </c>
      <c r="D22" s="832" t="s">
        <v>352</v>
      </c>
    </row>
    <row r="23" spans="1:4" ht="15.75">
      <c r="A23" s="837" t="s">
        <v>1074</v>
      </c>
      <c r="B23" s="286" t="s">
        <v>352</v>
      </c>
      <c r="C23" s="286" t="s">
        <v>352</v>
      </c>
      <c r="D23" s="296" t="s">
        <v>352</v>
      </c>
    </row>
    <row r="24" spans="1:4" ht="28.5">
      <c r="A24" s="838" t="s">
        <v>1075</v>
      </c>
      <c r="B24" s="286" t="s">
        <v>352</v>
      </c>
      <c r="C24" s="286" t="s">
        <v>352</v>
      </c>
      <c r="D24" s="296" t="s">
        <v>352</v>
      </c>
    </row>
    <row r="25" spans="1:4" ht="15.75">
      <c r="A25" s="837" t="s">
        <v>1076</v>
      </c>
      <c r="B25" s="286" t="s">
        <v>352</v>
      </c>
      <c r="C25" s="286" t="s">
        <v>352</v>
      </c>
      <c r="D25" s="296" t="s">
        <v>352</v>
      </c>
    </row>
    <row r="26" spans="1:4" ht="15">
      <c r="A26" s="838" t="s">
        <v>1077</v>
      </c>
      <c r="B26" s="286" t="s">
        <v>352</v>
      </c>
      <c r="C26" s="286" t="s">
        <v>352</v>
      </c>
      <c r="D26" s="296" t="s">
        <v>352</v>
      </c>
    </row>
    <row r="27" spans="1:4" ht="15.75">
      <c r="A27" s="837" t="s">
        <v>1078</v>
      </c>
      <c r="B27" s="286" t="s">
        <v>818</v>
      </c>
      <c r="C27" s="286" t="s">
        <v>818</v>
      </c>
      <c r="D27" s="296" t="s">
        <v>818</v>
      </c>
    </row>
    <row r="28" spans="1:4" ht="15">
      <c r="A28" s="838" t="s">
        <v>1079</v>
      </c>
      <c r="B28" s="833">
        <v>42736</v>
      </c>
      <c r="C28" s="833">
        <f>B28</f>
        <v>42736</v>
      </c>
      <c r="D28" s="834">
        <f>C28</f>
        <v>42736</v>
      </c>
    </row>
    <row r="29" spans="1:4" ht="30">
      <c r="A29" s="837" t="s">
        <v>1080</v>
      </c>
      <c r="B29" s="185" t="s">
        <v>834</v>
      </c>
      <c r="C29" s="185" t="str">
        <f>B29</f>
        <v>Quarterly 
instalments</v>
      </c>
      <c r="D29" s="295" t="str">
        <f>C29</f>
        <v>Quarterly 
instalments</v>
      </c>
    </row>
    <row r="30" spans="1:4" ht="15.75">
      <c r="A30" s="837" t="s">
        <v>1081</v>
      </c>
      <c r="B30" s="835">
        <f>B17/48</f>
        <v>82.916666666666671</v>
      </c>
      <c r="C30" s="835">
        <f>C17/48</f>
        <v>13.75</v>
      </c>
      <c r="D30" s="836">
        <f>D17/48</f>
        <v>13.75</v>
      </c>
    </row>
    <row r="31" spans="1:4" ht="15.75">
      <c r="A31" s="837" t="s">
        <v>1082</v>
      </c>
      <c r="B31" s="286" t="s">
        <v>352</v>
      </c>
      <c r="C31" s="286" t="s">
        <v>352</v>
      </c>
      <c r="D31" s="296" t="s">
        <v>352</v>
      </c>
    </row>
    <row r="32" spans="1:4" ht="15">
      <c r="A32" s="1621" t="s">
        <v>1083</v>
      </c>
      <c r="B32" s="1622"/>
      <c r="C32" s="1622"/>
      <c r="D32" s="1623"/>
    </row>
    <row r="33" spans="1:4" ht="15">
      <c r="A33" s="1542" t="s">
        <v>1084</v>
      </c>
      <c r="B33" s="1543"/>
      <c r="C33" s="1543"/>
      <c r="D33" s="1613"/>
    </row>
    <row r="34" spans="1:4" ht="15">
      <c r="A34" s="1542" t="s">
        <v>1085</v>
      </c>
      <c r="B34" s="1543"/>
      <c r="C34" s="1543"/>
      <c r="D34" s="1613"/>
    </row>
    <row r="35" spans="1:4" ht="15">
      <c r="A35" s="1542" t="s">
        <v>1086</v>
      </c>
      <c r="B35" s="1543"/>
      <c r="C35" s="1543"/>
      <c r="D35" s="1613"/>
    </row>
    <row r="36" spans="1:4" ht="15">
      <c r="A36" s="1542" t="s">
        <v>1087</v>
      </c>
      <c r="B36" s="1543"/>
      <c r="C36" s="1543"/>
      <c r="D36" s="1613"/>
    </row>
    <row r="37" spans="1:4" ht="15.75">
      <c r="A37" s="1618" t="s">
        <v>1088</v>
      </c>
      <c r="B37" s="1619"/>
      <c r="C37" s="1619"/>
      <c r="D37" s="1620"/>
    </row>
    <row r="38" spans="1:4" ht="15">
      <c r="A38" s="1542" t="s">
        <v>1089</v>
      </c>
      <c r="B38" s="1543"/>
      <c r="C38" s="1543"/>
      <c r="D38" s="1613"/>
    </row>
    <row r="39" spans="1:4" ht="15">
      <c r="A39" s="1542" t="s">
        <v>1090</v>
      </c>
      <c r="B39" s="1543"/>
      <c r="C39" s="1543"/>
      <c r="D39" s="1613"/>
    </row>
    <row r="40" spans="1:4" ht="15">
      <c r="A40" s="1542" t="s">
        <v>1091</v>
      </c>
      <c r="B40" s="1543"/>
      <c r="C40" s="1543"/>
      <c r="D40" s="1613"/>
    </row>
    <row r="41" spans="1:4" ht="15">
      <c r="A41" s="1542" t="s">
        <v>1092</v>
      </c>
      <c r="B41" s="1543"/>
      <c r="C41" s="1543"/>
      <c r="D41" s="1613"/>
    </row>
    <row r="42" spans="1:4" ht="15">
      <c r="A42" s="1542" t="s">
        <v>1093</v>
      </c>
      <c r="B42" s="1543"/>
      <c r="C42" s="1543"/>
      <c r="D42" s="1613"/>
    </row>
    <row r="43" spans="1:4" ht="15">
      <c r="A43" s="1542" t="s">
        <v>1094</v>
      </c>
      <c r="B43" s="1543"/>
      <c r="C43" s="1543"/>
      <c r="D43" s="1613"/>
    </row>
    <row r="44" spans="1:4" ht="15">
      <c r="A44" s="1542" t="s">
        <v>1095</v>
      </c>
      <c r="B44" s="1543"/>
      <c r="C44" s="1543"/>
      <c r="D44" s="1613"/>
    </row>
    <row r="45" spans="1:4" ht="15">
      <c r="A45" s="1542" t="s">
        <v>1096</v>
      </c>
      <c r="B45" s="1543"/>
      <c r="C45" s="1543"/>
      <c r="D45" s="1613"/>
    </row>
    <row r="46" spans="1:4" ht="15">
      <c r="A46" s="1542" t="s">
        <v>1097</v>
      </c>
      <c r="B46" s="1543"/>
      <c r="C46" s="1543"/>
      <c r="D46" s="1613"/>
    </row>
    <row r="47" spans="1:4" ht="15">
      <c r="A47" s="1542" t="s">
        <v>1098</v>
      </c>
      <c r="B47" s="1543"/>
      <c r="C47" s="1543"/>
      <c r="D47" s="1613"/>
    </row>
    <row r="48" spans="1:4" ht="14.25" customHeight="1">
      <c r="A48" s="811" t="s">
        <v>836</v>
      </c>
      <c r="B48" s="180"/>
      <c r="C48" s="180"/>
      <c r="D48" s="813"/>
    </row>
    <row r="49" spans="1:4" ht="11.45" customHeight="1">
      <c r="A49" s="187"/>
      <c r="B49" s="180"/>
      <c r="C49" s="180"/>
      <c r="D49" s="813"/>
    </row>
    <row r="50" spans="1:4" ht="15">
      <c r="A50" s="182"/>
      <c r="B50" s="180"/>
      <c r="C50" s="180"/>
      <c r="D50" s="813"/>
    </row>
    <row r="51" spans="1:4" ht="15">
      <c r="A51" s="182"/>
      <c r="B51" s="180"/>
      <c r="C51" s="180"/>
      <c r="D51" s="813"/>
    </row>
    <row r="52" spans="1:4" ht="15">
      <c r="A52" s="182"/>
      <c r="B52" s="180"/>
      <c r="C52" s="180"/>
      <c r="D52" s="813"/>
    </row>
    <row r="53" spans="1:4" ht="15">
      <c r="A53" s="182"/>
      <c r="B53" s="180"/>
      <c r="C53" s="263" t="s">
        <v>822</v>
      </c>
      <c r="D53" s="813"/>
    </row>
    <row r="54" spans="1:4">
      <c r="A54" s="448"/>
      <c r="D54" s="449"/>
    </row>
    <row r="55" spans="1:4" ht="13.5" thickBot="1">
      <c r="A55" s="175"/>
      <c r="B55" s="176"/>
      <c r="C55" s="176"/>
      <c r="D55" s="177"/>
    </row>
  </sheetData>
  <mergeCells count="18">
    <mergeCell ref="A4:D4"/>
    <mergeCell ref="A42:D42"/>
    <mergeCell ref="A43:D43"/>
    <mergeCell ref="A44:D44"/>
    <mergeCell ref="A45:D45"/>
    <mergeCell ref="A37:D37"/>
    <mergeCell ref="A38:D38"/>
    <mergeCell ref="A39:D39"/>
    <mergeCell ref="A40:D40"/>
    <mergeCell ref="A41:D41"/>
    <mergeCell ref="A32:D32"/>
    <mergeCell ref="A33:D33"/>
    <mergeCell ref="A34:D34"/>
    <mergeCell ref="A35:D35"/>
    <mergeCell ref="A36:D36"/>
    <mergeCell ref="B5:C5"/>
    <mergeCell ref="A47:D47"/>
    <mergeCell ref="A46:D46"/>
  </mergeCells>
  <pageMargins left="0.70866141732283472" right="0.70866141732283472" top="0.74803149606299213" bottom="0.74803149606299213" header="0.31496062992125984" footer="0.31496062992125984"/>
  <pageSetup scale="83" orientation="portrait" r:id="rId1"/>
  <drawing r:id="rId2"/>
</worksheet>
</file>

<file path=xl/worksheets/sheet14.xml><?xml version="1.0" encoding="utf-8"?>
<worksheet xmlns="http://schemas.openxmlformats.org/spreadsheetml/2006/main" xmlns:r="http://schemas.openxmlformats.org/officeDocument/2006/relationships">
  <sheetPr>
    <tabColor theme="9" tint="-0.249977111117893"/>
  </sheetPr>
  <dimension ref="A1:J41"/>
  <sheetViews>
    <sheetView topLeftCell="A10" workbookViewId="0">
      <selection activeCell="O21" sqref="O21"/>
    </sheetView>
  </sheetViews>
  <sheetFormatPr defaultRowHeight="12.75"/>
  <cols>
    <col min="1" max="1" width="9.83203125" customWidth="1"/>
    <col min="2" max="2" width="10" customWidth="1"/>
    <col min="3" max="3" width="23.33203125" customWidth="1"/>
    <col min="4" max="4" width="27.5" customWidth="1"/>
    <col min="5" max="5" width="18.6640625" customWidth="1"/>
    <col min="6" max="6" width="14.1640625" customWidth="1"/>
  </cols>
  <sheetData>
    <row r="1" spans="1:10" ht="15">
      <c r="A1" s="234"/>
      <c r="B1" s="235"/>
      <c r="C1" s="235"/>
      <c r="D1" s="235"/>
      <c r="E1" s="235"/>
      <c r="F1" s="236" t="s">
        <v>414</v>
      </c>
      <c r="G1" s="195"/>
      <c r="H1" s="195"/>
      <c r="I1" s="195"/>
    </row>
    <row r="2" spans="1:10" ht="15.75">
      <c r="A2" s="237"/>
      <c r="B2" s="190"/>
      <c r="C2" s="190"/>
      <c r="D2" s="190"/>
      <c r="E2" s="190"/>
      <c r="F2" s="238" t="s">
        <v>572</v>
      </c>
      <c r="G2" s="190"/>
      <c r="H2" s="190"/>
      <c r="I2" s="190"/>
    </row>
    <row r="3" spans="1:10" ht="15">
      <c r="A3" s="237"/>
      <c r="B3" s="190"/>
      <c r="C3" s="190"/>
      <c r="D3" s="190"/>
      <c r="E3" s="190"/>
      <c r="F3" s="239"/>
      <c r="G3" s="190"/>
      <c r="H3" s="190"/>
      <c r="I3" s="190"/>
      <c r="J3" s="190"/>
    </row>
    <row r="4" spans="1:10" ht="18">
      <c r="A4" s="1628" t="s">
        <v>574</v>
      </c>
      <c r="B4" s="1566"/>
      <c r="C4" s="1566"/>
      <c r="D4" s="1566"/>
      <c r="E4" s="1566"/>
      <c r="F4" s="1629"/>
      <c r="G4" s="230"/>
      <c r="H4" s="230"/>
      <c r="I4" s="230"/>
      <c r="J4" s="230"/>
    </row>
    <row r="5" spans="1:10" ht="15">
      <c r="A5" s="240"/>
      <c r="B5" s="200"/>
      <c r="C5" s="200"/>
      <c r="D5" s="200"/>
      <c r="E5" s="200"/>
      <c r="F5" s="241"/>
      <c r="G5" s="200"/>
      <c r="H5" s="200"/>
      <c r="I5" s="200"/>
      <c r="J5" s="200"/>
    </row>
    <row r="6" spans="1:10" ht="15">
      <c r="A6" s="1627" t="s">
        <v>498</v>
      </c>
      <c r="B6" s="1576"/>
      <c r="C6" s="233" t="s">
        <v>464</v>
      </c>
      <c r="D6" s="233"/>
      <c r="E6" s="233"/>
      <c r="F6" s="242"/>
      <c r="G6" s="233"/>
      <c r="H6" s="233"/>
      <c r="I6" s="233"/>
      <c r="J6" s="233"/>
    </row>
    <row r="7" spans="1:10" ht="15">
      <c r="A7" s="1627" t="s">
        <v>499</v>
      </c>
      <c r="B7" s="1576"/>
      <c r="C7" s="233" t="s">
        <v>461</v>
      </c>
      <c r="D7" s="233"/>
      <c r="E7" s="233"/>
      <c r="F7" s="242"/>
      <c r="G7" s="233"/>
      <c r="H7" s="233"/>
      <c r="I7" s="233"/>
      <c r="J7" s="233"/>
    </row>
    <row r="8" spans="1:10">
      <c r="A8" s="243"/>
      <c r="F8" s="244"/>
    </row>
    <row r="9" spans="1:10" ht="18.75">
      <c r="A9" s="245" t="s">
        <v>573</v>
      </c>
      <c r="B9" s="231"/>
      <c r="C9" s="231" t="s">
        <v>497</v>
      </c>
      <c r="F9" s="244"/>
    </row>
    <row r="10" spans="1:10" ht="18.75">
      <c r="A10" s="245"/>
      <c r="B10" s="231"/>
      <c r="C10" s="231"/>
      <c r="F10" s="244"/>
    </row>
    <row r="11" spans="1:10">
      <c r="A11" s="243"/>
      <c r="F11" s="244"/>
    </row>
    <row r="12" spans="1:10">
      <c r="A12" s="243"/>
      <c r="F12" s="244"/>
    </row>
    <row r="13" spans="1:10" ht="64.7" customHeight="1">
      <c r="A13" s="246" t="s">
        <v>269</v>
      </c>
      <c r="B13" s="34" t="s">
        <v>270</v>
      </c>
      <c r="C13" s="6" t="s">
        <v>271</v>
      </c>
      <c r="D13" s="9" t="s">
        <v>272</v>
      </c>
      <c r="E13" s="9" t="s">
        <v>273</v>
      </c>
      <c r="F13" s="247" t="s">
        <v>274</v>
      </c>
    </row>
    <row r="14" spans="1:10" ht="15" customHeight="1">
      <c r="A14" s="248">
        <v>-1</v>
      </c>
      <c r="B14" s="36">
        <v>-2</v>
      </c>
      <c r="C14" s="35">
        <v>-3</v>
      </c>
      <c r="D14" s="35">
        <v>-4</v>
      </c>
      <c r="E14" s="35">
        <v>-5</v>
      </c>
      <c r="F14" s="249">
        <v>-6</v>
      </c>
    </row>
    <row r="15" spans="1:10" ht="12.95" customHeight="1">
      <c r="A15" s="250"/>
      <c r="B15" s="2"/>
      <c r="C15" s="2"/>
      <c r="D15" s="2"/>
      <c r="E15" s="2"/>
      <c r="F15" s="251"/>
    </row>
    <row r="16" spans="1:10" ht="12.95" customHeight="1">
      <c r="A16" s="1630" t="s">
        <v>575</v>
      </c>
      <c r="B16" s="1631"/>
      <c r="C16" s="1631"/>
      <c r="D16" s="1631"/>
      <c r="E16" s="1631"/>
      <c r="F16" s="1632"/>
    </row>
    <row r="17" spans="1:6" ht="12.75" customHeight="1">
      <c r="A17" s="250"/>
      <c r="B17" s="2"/>
      <c r="C17" s="2"/>
      <c r="D17" s="2"/>
      <c r="E17" s="2"/>
      <c r="F17" s="251"/>
    </row>
    <row r="18" spans="1:6" ht="12.95" customHeight="1">
      <c r="A18" s="250"/>
      <c r="B18" s="2"/>
      <c r="C18" s="2"/>
      <c r="D18" s="2"/>
      <c r="E18" s="2"/>
      <c r="F18" s="251"/>
    </row>
    <row r="19" spans="1:6" ht="12.95" customHeight="1">
      <c r="A19" s="250"/>
      <c r="B19" s="2"/>
      <c r="C19" s="2"/>
      <c r="D19" s="2"/>
      <c r="E19" s="2"/>
      <c r="F19" s="251"/>
    </row>
    <row r="20" spans="1:6" ht="12.75" customHeight="1">
      <c r="A20" s="250"/>
      <c r="B20" s="2"/>
      <c r="C20" s="2"/>
      <c r="D20" s="2"/>
      <c r="E20" s="2"/>
      <c r="F20" s="251"/>
    </row>
    <row r="21" spans="1:6" ht="12.95" customHeight="1">
      <c r="A21" s="250"/>
      <c r="B21" s="2"/>
      <c r="C21" s="2"/>
      <c r="D21" s="2"/>
      <c r="E21" s="2"/>
      <c r="F21" s="251"/>
    </row>
    <row r="22" spans="1:6" ht="12.95" customHeight="1">
      <c r="A22" s="250"/>
      <c r="B22" s="232" t="s">
        <v>458</v>
      </c>
      <c r="C22" s="2"/>
      <c r="D22" s="2"/>
      <c r="E22" s="2"/>
      <c r="F22" s="251"/>
    </row>
    <row r="23" spans="1:6" ht="12.95" customHeight="1">
      <c r="A23" s="250"/>
      <c r="B23" s="2"/>
      <c r="C23" s="2"/>
      <c r="D23" s="2"/>
      <c r="E23" s="2"/>
      <c r="F23" s="251"/>
    </row>
    <row r="24" spans="1:6" ht="12.75" customHeight="1">
      <c r="A24" s="250"/>
      <c r="B24" s="2"/>
      <c r="C24" s="2"/>
      <c r="D24" s="2"/>
      <c r="E24" s="2"/>
      <c r="F24" s="251"/>
    </row>
    <row r="25" spans="1:6" ht="12.95" customHeight="1">
      <c r="A25" s="1630" t="s">
        <v>576</v>
      </c>
      <c r="B25" s="1631"/>
      <c r="C25" s="1631"/>
      <c r="D25" s="1631"/>
      <c r="E25" s="1631"/>
      <c r="F25" s="1632"/>
    </row>
    <row r="26" spans="1:6" ht="12.75" customHeight="1">
      <c r="A26" s="250"/>
      <c r="B26" s="2"/>
      <c r="C26" s="2"/>
      <c r="D26" s="2"/>
      <c r="E26" s="2"/>
      <c r="F26" s="251"/>
    </row>
    <row r="27" spans="1:6" ht="12.95" customHeight="1">
      <c r="A27" s="250"/>
      <c r="B27" s="2"/>
      <c r="C27" s="2"/>
      <c r="D27" s="2"/>
      <c r="E27" s="2"/>
      <c r="F27" s="251"/>
    </row>
    <row r="28" spans="1:6" ht="12.95" customHeight="1">
      <c r="A28" s="250"/>
      <c r="B28" s="2"/>
      <c r="C28" s="2"/>
      <c r="D28" s="2"/>
      <c r="E28" s="2"/>
      <c r="F28" s="251"/>
    </row>
    <row r="29" spans="1:6" ht="12.95" customHeight="1">
      <c r="A29" s="250"/>
      <c r="B29" s="2"/>
      <c r="C29" s="2"/>
      <c r="D29" s="2"/>
      <c r="E29" s="2"/>
      <c r="F29" s="251"/>
    </row>
    <row r="30" spans="1:6" ht="12.75" customHeight="1">
      <c r="A30" s="250"/>
      <c r="B30" s="2"/>
      <c r="C30" s="2"/>
      <c r="D30" s="2"/>
      <c r="E30" s="2"/>
      <c r="F30" s="251"/>
    </row>
    <row r="31" spans="1:6" ht="12.95" customHeight="1">
      <c r="A31" s="250"/>
      <c r="B31" s="2"/>
      <c r="C31" s="2"/>
      <c r="D31" s="2"/>
      <c r="E31" s="2"/>
      <c r="F31" s="251"/>
    </row>
    <row r="32" spans="1:6" ht="12.75" customHeight="1">
      <c r="A32" s="250"/>
      <c r="B32" s="2"/>
      <c r="C32" s="2"/>
      <c r="D32" s="2"/>
      <c r="E32" s="2"/>
      <c r="F32" s="251"/>
    </row>
    <row r="33" spans="1:6" ht="15" customHeight="1">
      <c r="A33" s="250"/>
      <c r="B33" s="10" t="s">
        <v>275</v>
      </c>
      <c r="C33" s="2"/>
      <c r="D33" s="2"/>
      <c r="E33" s="2"/>
      <c r="F33" s="251"/>
    </row>
    <row r="34" spans="1:6" ht="12.95" customHeight="1">
      <c r="A34" s="250"/>
      <c r="B34" s="2"/>
      <c r="C34" s="2"/>
      <c r="D34" s="2"/>
      <c r="E34" s="2"/>
      <c r="F34" s="251"/>
    </row>
    <row r="35" spans="1:6" ht="146.25" customHeight="1">
      <c r="A35" s="1624" t="s">
        <v>276</v>
      </c>
      <c r="B35" s="1625"/>
      <c r="C35" s="1625"/>
      <c r="D35" s="1625"/>
      <c r="E35" s="1625"/>
      <c r="F35" s="1626"/>
    </row>
    <row r="36" spans="1:6">
      <c r="A36" s="243"/>
      <c r="F36" s="244"/>
    </row>
    <row r="37" spans="1:6">
      <c r="A37" s="243"/>
      <c r="F37" s="244"/>
    </row>
    <row r="38" spans="1:6">
      <c r="A38" s="243"/>
      <c r="F38" s="244"/>
    </row>
    <row r="39" spans="1:6">
      <c r="A39" s="243"/>
      <c r="F39" s="244"/>
    </row>
    <row r="40" spans="1:6">
      <c r="A40" s="243"/>
      <c r="F40" s="244"/>
    </row>
    <row r="41" spans="1:6">
      <c r="A41" s="252"/>
      <c r="B41" s="253"/>
      <c r="C41" s="253"/>
      <c r="D41" s="253"/>
      <c r="E41" s="253"/>
      <c r="F41" s="254"/>
    </row>
  </sheetData>
  <mergeCells count="6">
    <mergeCell ref="A35:F35"/>
    <mergeCell ref="A6:B6"/>
    <mergeCell ref="A7:B7"/>
    <mergeCell ref="A4:F4"/>
    <mergeCell ref="A16:F16"/>
    <mergeCell ref="A25:F25"/>
  </mergeCells>
  <pageMargins left="0.7" right="0.7" top="0.75" bottom="0.75" header="0.3" footer="0.3"/>
</worksheet>
</file>

<file path=xl/worksheets/sheet15.xml><?xml version="1.0" encoding="utf-8"?>
<worksheet xmlns="http://schemas.openxmlformats.org/spreadsheetml/2006/main" xmlns:r="http://schemas.openxmlformats.org/officeDocument/2006/relationships">
  <sheetPr>
    <tabColor rgb="FF00B050"/>
  </sheetPr>
  <dimension ref="A1:L38"/>
  <sheetViews>
    <sheetView topLeftCell="B1" zoomScale="107" zoomScaleNormal="107" workbookViewId="0">
      <selection activeCell="E17" sqref="E17"/>
    </sheetView>
  </sheetViews>
  <sheetFormatPr defaultColWidth="9.1640625" defaultRowHeight="15.75"/>
  <cols>
    <col min="1" max="1" width="61.6640625" style="506" customWidth="1"/>
    <col min="2" max="3" width="23.6640625" style="506" customWidth="1"/>
    <col min="4" max="10" width="19" style="506" customWidth="1"/>
    <col min="11" max="16384" width="9.1640625" style="506"/>
  </cols>
  <sheetData>
    <row r="1" spans="1:10" ht="18.75">
      <c r="A1" s="844"/>
      <c r="B1" s="845"/>
      <c r="C1" s="845"/>
      <c r="D1" s="845"/>
      <c r="E1" s="845"/>
      <c r="F1" s="845"/>
      <c r="G1" s="845"/>
      <c r="H1" s="845"/>
      <c r="I1" s="846" t="s">
        <v>869</v>
      </c>
      <c r="J1" s="847"/>
    </row>
    <row r="2" spans="1:10" ht="18.75">
      <c r="A2" s="848"/>
      <c r="B2" s="517"/>
      <c r="C2" s="517"/>
      <c r="D2" s="517"/>
      <c r="E2" s="517"/>
      <c r="F2" s="517"/>
      <c r="G2" s="517"/>
      <c r="H2" s="517"/>
      <c r="I2" s="657" t="s">
        <v>898</v>
      </c>
      <c r="J2" s="849"/>
    </row>
    <row r="3" spans="1:10" ht="18.75">
      <c r="A3" s="848"/>
      <c r="B3" s="517"/>
      <c r="C3" s="517"/>
      <c r="D3" s="517"/>
      <c r="E3" s="517"/>
      <c r="F3" s="517"/>
      <c r="G3" s="517"/>
      <c r="H3" s="517"/>
      <c r="I3" s="517"/>
      <c r="J3" s="849"/>
    </row>
    <row r="4" spans="1:10" ht="18.75">
      <c r="A4" s="1634" t="s">
        <v>870</v>
      </c>
      <c r="B4" s="1635"/>
      <c r="C4" s="1635"/>
      <c r="D4" s="1635"/>
      <c r="E4" s="1635"/>
      <c r="F4" s="1635"/>
      <c r="G4" s="1635"/>
      <c r="H4" s="1635"/>
      <c r="I4" s="1635"/>
      <c r="J4" s="1636"/>
    </row>
    <row r="5" spans="1:10" ht="18.75">
      <c r="A5" s="848"/>
      <c r="B5" s="517"/>
      <c r="C5" s="517"/>
      <c r="D5" s="517"/>
      <c r="E5" s="517"/>
      <c r="F5" s="517"/>
      <c r="G5" s="517"/>
      <c r="H5" s="517"/>
      <c r="I5" s="517"/>
      <c r="J5" s="849"/>
    </row>
    <row r="6" spans="1:10" ht="18.75">
      <c r="A6" s="850" t="s">
        <v>1031</v>
      </c>
      <c r="B6" s="517" t="str">
        <f>'Form 5B '!E7</f>
        <v>The Singareni Collieries Company Limited</v>
      </c>
      <c r="C6" s="517"/>
      <c r="D6" s="517"/>
      <c r="E6" s="517"/>
      <c r="F6" s="517"/>
      <c r="G6" s="517"/>
      <c r="H6" s="517"/>
      <c r="I6" s="517"/>
      <c r="J6" s="849"/>
    </row>
    <row r="7" spans="1:10" ht="18.75">
      <c r="A7" s="850" t="s">
        <v>1032</v>
      </c>
      <c r="B7" s="517" t="str">
        <f>'Form 5B '!E8</f>
        <v>Singareni Thermal Power Project</v>
      </c>
      <c r="C7" s="517"/>
      <c r="D7" s="517"/>
      <c r="E7" s="517"/>
      <c r="F7" s="517"/>
      <c r="G7" s="517"/>
      <c r="H7" s="517"/>
      <c r="I7" s="517"/>
      <c r="J7" s="849"/>
    </row>
    <row r="8" spans="1:10" ht="18.75">
      <c r="A8" s="850"/>
      <c r="B8" s="517"/>
      <c r="C8" s="517"/>
      <c r="D8" s="517"/>
      <c r="E8" s="517"/>
      <c r="F8" s="517"/>
      <c r="G8" s="517"/>
      <c r="H8" s="517"/>
      <c r="I8" s="517"/>
      <c r="J8" s="849"/>
    </row>
    <row r="9" spans="1:10" ht="18.75">
      <c r="A9" s="848"/>
      <c r="B9" s="517"/>
      <c r="C9" s="517"/>
      <c r="D9" s="517"/>
      <c r="E9" s="517"/>
      <c r="F9" s="517"/>
      <c r="G9" s="517"/>
      <c r="H9" s="1633" t="s">
        <v>995</v>
      </c>
      <c r="I9" s="1633"/>
      <c r="J9" s="849"/>
    </row>
    <row r="10" spans="1:10" ht="51.75" customHeight="1">
      <c r="A10" s="839" t="s">
        <v>871</v>
      </c>
      <c r="B10" s="840" t="str">
        <f>'Form 13A'!B10</f>
        <v>From COD Unit 1 to COD of Unit 2</v>
      </c>
      <c r="C10" s="840" t="str">
        <f>'Form 13A'!C10</f>
        <v>From COD Unit 2 to 31.03.2017</v>
      </c>
      <c r="D10" s="840" t="str">
        <f>'Form 13A'!D10</f>
        <v>FY 2017-18</v>
      </c>
      <c r="E10" s="841" t="str">
        <f>'Form 13A'!E10</f>
        <v>FY 2018-19</v>
      </c>
      <c r="F10" s="840" t="s">
        <v>1016</v>
      </c>
      <c r="G10" s="842" t="s">
        <v>1017</v>
      </c>
      <c r="H10" s="840" t="s">
        <v>1018</v>
      </c>
      <c r="I10" s="840" t="s">
        <v>1019</v>
      </c>
      <c r="J10" s="843" t="s">
        <v>1020</v>
      </c>
    </row>
    <row r="11" spans="1:10" ht="18.75">
      <c r="A11" s="851">
        <v>1</v>
      </c>
      <c r="B11" s="852">
        <v>2</v>
      </c>
      <c r="C11" s="852">
        <v>3</v>
      </c>
      <c r="D11" s="852">
        <v>4</v>
      </c>
      <c r="E11" s="853">
        <v>5</v>
      </c>
      <c r="F11" s="853">
        <v>6</v>
      </c>
      <c r="G11" s="853">
        <v>7</v>
      </c>
      <c r="H11" s="852">
        <v>8</v>
      </c>
      <c r="I11" s="852">
        <v>9</v>
      </c>
      <c r="J11" s="854">
        <v>10</v>
      </c>
    </row>
    <row r="12" spans="1:10" ht="18.75">
      <c r="A12" s="851" t="s">
        <v>617</v>
      </c>
      <c r="B12" s="852">
        <v>68</v>
      </c>
      <c r="C12" s="852">
        <v>120</v>
      </c>
      <c r="D12" s="852">
        <v>365</v>
      </c>
      <c r="E12" s="853">
        <v>365</v>
      </c>
      <c r="F12" s="855"/>
      <c r="G12" s="856"/>
      <c r="H12" s="855"/>
      <c r="I12" s="855"/>
      <c r="J12" s="857"/>
    </row>
    <row r="13" spans="1:10" ht="18.75">
      <c r="A13" s="858"/>
      <c r="B13" s="859"/>
      <c r="C13" s="859"/>
      <c r="D13" s="859"/>
      <c r="E13" s="860"/>
      <c r="F13" s="855"/>
      <c r="G13" s="856"/>
      <c r="H13" s="855"/>
      <c r="I13" s="855"/>
      <c r="J13" s="857"/>
    </row>
    <row r="14" spans="1:10" ht="18">
      <c r="A14" s="858" t="s">
        <v>428</v>
      </c>
      <c r="B14" s="861">
        <f>'Form 13A'!B14</f>
        <v>3715.5432467305568</v>
      </c>
      <c r="C14" s="861">
        <f>'Form 13A'!C14</f>
        <v>7114.8199999999988</v>
      </c>
      <c r="D14" s="861">
        <f>'Form 13A'!D14</f>
        <v>7210.44</v>
      </c>
      <c r="E14" s="862">
        <f>'Form 13A'!E14</f>
        <v>7611.94</v>
      </c>
      <c r="F14" s="861">
        <f>'Form 13A'!F14</f>
        <v>8461</v>
      </c>
      <c r="G14" s="861">
        <f>'Form 13A'!G14</f>
        <v>8461</v>
      </c>
      <c r="H14" s="861">
        <f>'Form 13A'!H14</f>
        <v>8691.75</v>
      </c>
      <c r="I14" s="861">
        <f>'Form 13A'!I14</f>
        <v>8986.3799999999992</v>
      </c>
      <c r="J14" s="1304">
        <f>'Form 13A'!J14</f>
        <v>9809.56</v>
      </c>
    </row>
    <row r="15" spans="1:10" ht="18">
      <c r="A15" s="858" t="s">
        <v>430</v>
      </c>
      <c r="B15" s="861">
        <f>'Form 13A'!B17</f>
        <v>3715.5432467305568</v>
      </c>
      <c r="C15" s="861">
        <f>'Form 13A'!C17</f>
        <v>7210.44</v>
      </c>
      <c r="D15" s="861">
        <f>'Form 13A'!D17</f>
        <v>7611.94</v>
      </c>
      <c r="E15" s="862">
        <f>'Form 13A'!E17</f>
        <v>8461</v>
      </c>
      <c r="F15" s="861">
        <f>'Form 13A'!F17</f>
        <v>8461</v>
      </c>
      <c r="G15" s="861">
        <f>'Form 13A'!G17</f>
        <v>8691.75</v>
      </c>
      <c r="H15" s="861">
        <f>'Form 13A'!H17</f>
        <v>8986.3799999999992</v>
      </c>
      <c r="I15" s="861">
        <f>'Form 13A'!I17</f>
        <v>9809.56</v>
      </c>
      <c r="J15" s="1304">
        <f>'Form 13A'!J17</f>
        <v>9809.56</v>
      </c>
    </row>
    <row r="16" spans="1:10" ht="18.75">
      <c r="A16" s="858" t="s">
        <v>431</v>
      </c>
      <c r="B16" s="861">
        <f t="shared" ref="B16:J16" si="0">AVERAGE(B14,B15)</f>
        <v>3715.5432467305568</v>
      </c>
      <c r="C16" s="861">
        <f t="shared" si="0"/>
        <v>7162.6299999999992</v>
      </c>
      <c r="D16" s="861">
        <f t="shared" si="0"/>
        <v>7411.19</v>
      </c>
      <c r="E16" s="862">
        <f t="shared" si="0"/>
        <v>8036.4699999999993</v>
      </c>
      <c r="F16" s="1083">
        <f t="shared" si="0"/>
        <v>8461</v>
      </c>
      <c r="G16" s="1083">
        <f t="shared" si="0"/>
        <v>8576.375</v>
      </c>
      <c r="H16" s="1083">
        <f t="shared" si="0"/>
        <v>8839.0649999999987</v>
      </c>
      <c r="I16" s="1083">
        <f t="shared" si="0"/>
        <v>9397.9699999999993</v>
      </c>
      <c r="J16" s="1305">
        <f t="shared" si="0"/>
        <v>9809.56</v>
      </c>
    </row>
    <row r="17" spans="1:12" ht="18">
      <c r="A17" s="858" t="s">
        <v>436</v>
      </c>
      <c r="B17" s="863">
        <f>C17</f>
        <v>5.1853587965412277E-2</v>
      </c>
      <c r="C17" s="863">
        <f>'Form 12'!F38</f>
        <v>5.1853587965412277E-2</v>
      </c>
      <c r="D17" s="863">
        <f>'Form 12'!H38</f>
        <v>5.1725672335407723E-2</v>
      </c>
      <c r="E17" s="864">
        <f>'Form 12'!J38</f>
        <v>5.1483063661306762E-2</v>
      </c>
      <c r="F17" s="863">
        <f>'Form 12'!L38</f>
        <v>5.1690473909875891E-2</v>
      </c>
      <c r="G17" s="863">
        <f>'Form 12'!N38</f>
        <v>5.1656322965896763E-2</v>
      </c>
      <c r="H17" s="863">
        <f>'Form 12'!P38</f>
        <v>5.1688148353628081E-2</v>
      </c>
      <c r="I17" s="863">
        <f>'Form 12'!R38</f>
        <v>5.1732996478214978E-2</v>
      </c>
      <c r="J17" s="1306">
        <f>'Form 12'!T38</f>
        <v>5.1732996478214978E-2</v>
      </c>
      <c r="L17" s="1082"/>
    </row>
    <row r="18" spans="1:12" ht="18.75">
      <c r="A18" s="858" t="s">
        <v>437</v>
      </c>
      <c r="B18" s="861">
        <f>'Form 5B '!D31</f>
        <v>39.700000000000003</v>
      </c>
      <c r="C18" s="861">
        <f>'Form 5B '!E31</f>
        <v>40.36</v>
      </c>
      <c r="D18" s="861">
        <f>'Form 5B '!G31</f>
        <v>39.71</v>
      </c>
      <c r="E18" s="862">
        <v>53.06</v>
      </c>
      <c r="F18" s="1083">
        <f>E18</f>
        <v>53.06</v>
      </c>
      <c r="G18" s="1083">
        <f t="shared" ref="G18:J18" si="1">F18</f>
        <v>53.06</v>
      </c>
      <c r="H18" s="1083">
        <f t="shared" si="1"/>
        <v>53.06</v>
      </c>
      <c r="I18" s="1083">
        <f t="shared" si="1"/>
        <v>53.06</v>
      </c>
      <c r="J18" s="1305">
        <f t="shared" si="1"/>
        <v>53.06</v>
      </c>
    </row>
    <row r="19" spans="1:12" ht="36">
      <c r="A19" s="878" t="s">
        <v>438</v>
      </c>
      <c r="B19" s="861">
        <f>(B15-B18)*0.9</f>
        <v>3308.2589220575014</v>
      </c>
      <c r="C19" s="861">
        <f>(C15-C18)*0.9</f>
        <v>6453.0720000000001</v>
      </c>
      <c r="D19" s="861">
        <f>(D15-D18)*0.9</f>
        <v>6815.0069999999996</v>
      </c>
      <c r="E19" s="862">
        <f>(E15-E18)*0.9</f>
        <v>7567.1460000000006</v>
      </c>
      <c r="F19" s="861">
        <f t="shared" ref="F19:J19" si="2">(F15-F18)*0.9</f>
        <v>7567.1460000000006</v>
      </c>
      <c r="G19" s="861">
        <f t="shared" si="2"/>
        <v>7774.8210000000008</v>
      </c>
      <c r="H19" s="861">
        <f t="shared" si="2"/>
        <v>8039.9880000000003</v>
      </c>
      <c r="I19" s="861">
        <f t="shared" si="2"/>
        <v>8780.85</v>
      </c>
      <c r="J19" s="1304">
        <f t="shared" si="2"/>
        <v>8780.85</v>
      </c>
    </row>
    <row r="20" spans="1:12" ht="18.75">
      <c r="A20" s="858" t="s">
        <v>439</v>
      </c>
      <c r="B20" s="861">
        <v>0</v>
      </c>
      <c r="C20" s="861">
        <f>B23</f>
        <v>35.893613434759672</v>
      </c>
      <c r="D20" s="861">
        <f>C23</f>
        <v>158.00037445460657</v>
      </c>
      <c r="E20" s="862">
        <f>D23</f>
        <v>541.34916001005695</v>
      </c>
      <c r="F20" s="1116">
        <f>E23</f>
        <v>955.09125663223881</v>
      </c>
      <c r="G20" s="1116">
        <f t="shared" ref="G20:J20" si="3">F23</f>
        <v>1392.4443563836987</v>
      </c>
      <c r="H20" s="1116">
        <f t="shared" si="3"/>
        <v>1835.4683532603417</v>
      </c>
      <c r="I20" s="1116">
        <f t="shared" si="3"/>
        <v>2292.3432562877033</v>
      </c>
      <c r="J20" s="1307">
        <f t="shared" si="3"/>
        <v>2778.5284052000734</v>
      </c>
      <c r="K20" s="1117"/>
    </row>
    <row r="21" spans="1:12" ht="18">
      <c r="A21" s="858" t="s">
        <v>440</v>
      </c>
      <c r="B21" s="861">
        <f>B19-B20</f>
        <v>3308.2589220575014</v>
      </c>
      <c r="C21" s="861">
        <f>C19-C20</f>
        <v>6417.1783865652405</v>
      </c>
      <c r="D21" s="861">
        <f>D19-D20</f>
        <v>6657.006625545393</v>
      </c>
      <c r="E21" s="862">
        <f>E19-E20</f>
        <v>7025.7968399899437</v>
      </c>
      <c r="F21" s="861">
        <f>F19-F20</f>
        <v>6612.0547433677621</v>
      </c>
      <c r="G21" s="861">
        <f t="shared" ref="G21:J21" si="4">G19-G20</f>
        <v>6382.3766436163023</v>
      </c>
      <c r="H21" s="861">
        <f t="shared" si="4"/>
        <v>6204.5196467396581</v>
      </c>
      <c r="I21" s="861">
        <f t="shared" si="4"/>
        <v>6488.5067437122971</v>
      </c>
      <c r="J21" s="1304">
        <f t="shared" si="4"/>
        <v>6002.321594799927</v>
      </c>
    </row>
    <row r="22" spans="1:12" ht="18">
      <c r="A22" s="858" t="s">
        <v>441</v>
      </c>
      <c r="B22" s="861">
        <f>IF(B17*B16*B12/365&lt;B21,B17*B16*B12/365,B21)</f>
        <v>35.893613434759672</v>
      </c>
      <c r="C22" s="861">
        <f>IF(C17*C16*C12/365&lt;C21,C17*C16*C12/365,C21)</f>
        <v>122.10676101984689</v>
      </c>
      <c r="D22" s="861">
        <f>IF(D17*D16*D12/365&lt;D21,D17*D16*D12/365,D21)</f>
        <v>383.34878555545032</v>
      </c>
      <c r="E22" s="862">
        <f>IF(E17*E16*E12/365&lt;E21,E17*E16*E12/365,E21)</f>
        <v>413.74209662218192</v>
      </c>
      <c r="F22" s="861">
        <f>IF(F17*F16&lt;F21,F17*F16,F21)</f>
        <v>437.35309975145992</v>
      </c>
      <c r="G22" s="861">
        <f t="shared" ref="G22:J22" si="5">IF(G17*G16&lt;G21,G17*G16,G21)</f>
        <v>443.02399687664285</v>
      </c>
      <c r="H22" s="861">
        <f t="shared" si="5"/>
        <v>456.87490302736154</v>
      </c>
      <c r="I22" s="861">
        <f t="shared" si="5"/>
        <v>486.18514891236998</v>
      </c>
      <c r="J22" s="1304">
        <f t="shared" si="5"/>
        <v>507.47793293283848</v>
      </c>
    </row>
    <row r="23" spans="1:12" ht="18">
      <c r="A23" s="858" t="s">
        <v>442</v>
      </c>
      <c r="B23" s="861">
        <f>B20+B22</f>
        <v>35.893613434759672</v>
      </c>
      <c r="C23" s="861">
        <f>C20+C22</f>
        <v>158.00037445460657</v>
      </c>
      <c r="D23" s="861">
        <f>D20+D22</f>
        <v>541.34916001005695</v>
      </c>
      <c r="E23" s="862">
        <f>E20+E22</f>
        <v>955.09125663223881</v>
      </c>
      <c r="F23" s="861">
        <f t="shared" ref="F23:J23" si="6">F20+F22</f>
        <v>1392.4443563836987</v>
      </c>
      <c r="G23" s="861">
        <f t="shared" si="6"/>
        <v>1835.4683532603417</v>
      </c>
      <c r="H23" s="861">
        <f t="shared" si="6"/>
        <v>2292.3432562877033</v>
      </c>
      <c r="I23" s="861">
        <f t="shared" si="6"/>
        <v>2778.5284052000734</v>
      </c>
      <c r="J23" s="1304">
        <f t="shared" si="6"/>
        <v>3286.0063381329119</v>
      </c>
    </row>
    <row r="24" spans="1:12" ht="18.75">
      <c r="A24" s="851"/>
      <c r="B24" s="852"/>
      <c r="C24" s="852"/>
      <c r="D24" s="852"/>
      <c r="E24" s="853"/>
      <c r="F24" s="855"/>
      <c r="G24" s="856"/>
      <c r="H24" s="855"/>
      <c r="I24" s="855"/>
      <c r="J24" s="857"/>
    </row>
    <row r="25" spans="1:12" ht="18.75">
      <c r="A25" s="865"/>
      <c r="B25" s="855"/>
      <c r="C25" s="855"/>
      <c r="D25" s="855"/>
      <c r="E25" s="856"/>
      <c r="F25" s="855"/>
      <c r="G25" s="856"/>
      <c r="H25" s="855"/>
      <c r="I25" s="855"/>
      <c r="J25" s="857"/>
    </row>
    <row r="26" spans="1:12" ht="18.75">
      <c r="A26" s="866" t="s">
        <v>872</v>
      </c>
      <c r="B26" s="517"/>
      <c r="C26" s="517"/>
      <c r="D26" s="517"/>
      <c r="E26" s="855"/>
      <c r="F26" s="855"/>
      <c r="G26" s="856"/>
      <c r="H26" s="855"/>
      <c r="I26" s="855"/>
      <c r="J26" s="857"/>
    </row>
    <row r="27" spans="1:12" ht="18.75">
      <c r="A27" s="865"/>
      <c r="B27" s="855"/>
      <c r="C27" s="855"/>
      <c r="D27" s="855"/>
      <c r="E27" s="856"/>
      <c r="F27" s="855"/>
      <c r="G27" s="856"/>
      <c r="H27" s="855"/>
      <c r="I27" s="855"/>
      <c r="J27" s="857"/>
    </row>
    <row r="28" spans="1:12" ht="18.75">
      <c r="A28" s="865"/>
      <c r="B28" s="855"/>
      <c r="C28" s="855"/>
      <c r="D28" s="855"/>
      <c r="E28" s="856"/>
      <c r="F28" s="855"/>
      <c r="G28" s="856"/>
      <c r="H28" s="855"/>
      <c r="I28" s="855"/>
      <c r="J28" s="857"/>
    </row>
    <row r="29" spans="1:12" ht="18.75">
      <c r="A29" s="879" t="s">
        <v>873</v>
      </c>
      <c r="B29" s="867">
        <f>B22</f>
        <v>35.893613434759672</v>
      </c>
      <c r="C29" s="867">
        <f>C22</f>
        <v>122.10676101984689</v>
      </c>
      <c r="D29" s="867">
        <f>D22</f>
        <v>383.34878555545032</v>
      </c>
      <c r="E29" s="868">
        <f>E22</f>
        <v>413.74209662218192</v>
      </c>
      <c r="F29" s="868">
        <f t="shared" ref="F29:J29" si="7">F22</f>
        <v>437.35309975145992</v>
      </c>
      <c r="G29" s="868">
        <f t="shared" si="7"/>
        <v>443.02399687664285</v>
      </c>
      <c r="H29" s="868">
        <f t="shared" si="7"/>
        <v>456.87490302736154</v>
      </c>
      <c r="I29" s="868">
        <f t="shared" si="7"/>
        <v>486.18514891236998</v>
      </c>
      <c r="J29" s="1308">
        <f t="shared" si="7"/>
        <v>507.47793293283848</v>
      </c>
    </row>
    <row r="30" spans="1:12" ht="35.25" customHeight="1">
      <c r="A30" s="869" t="s">
        <v>899</v>
      </c>
      <c r="B30" s="870">
        <f>MAX(B22,'Form 13'!E54)-'Form-11'!B22</f>
        <v>0</v>
      </c>
      <c r="C30" s="870">
        <f>MAX(C22,'Form 13'!F54)-'Form-11'!C22</f>
        <v>0</v>
      </c>
      <c r="D30" s="870">
        <f>MAX(D22,'Form 13'!G54)-'Form-11'!D22</f>
        <v>16.366881111216344</v>
      </c>
      <c r="E30" s="870">
        <f>MAX(E22,'Form 13'!H54)-'Form-11'!E22</f>
        <v>6.6145700444847648</v>
      </c>
      <c r="F30" s="870">
        <f>MAX(F22,('Form 13'!$H$54+Form13B!H28))-'Form-11'!F22</f>
        <v>0</v>
      </c>
      <c r="G30" s="870">
        <f>MAX(G22,('Form 13'!$H$54+Form13B!I28))-'Form-11'!G22</f>
        <v>0</v>
      </c>
      <c r="H30" s="870">
        <f>MAX(H22,('Form 13'!$H$54+Form13B!J28))-'Form-11'!H22</f>
        <v>0</v>
      </c>
      <c r="I30" s="870">
        <f>MAX(I22,('Form 13'!$H$54+Form13B!K28))-'Form-11'!I22</f>
        <v>12.837517754296584</v>
      </c>
      <c r="J30" s="1309">
        <f>MAX(J22,('Form 13'!$H$54+Form13B!L28))-'Form-11'!J22</f>
        <v>0</v>
      </c>
    </row>
    <row r="31" spans="1:12" ht="38.25" thickBot="1">
      <c r="A31" s="871" t="s">
        <v>900</v>
      </c>
      <c r="B31" s="872">
        <f>B29+B30</f>
        <v>35.893613434759672</v>
      </c>
      <c r="C31" s="872">
        <f>C29+C30</f>
        <v>122.10676101984689</v>
      </c>
      <c r="D31" s="872">
        <f>D29+D30</f>
        <v>399.71566666666666</v>
      </c>
      <c r="E31" s="872">
        <f>E29+E30</f>
        <v>420.35666666666668</v>
      </c>
      <c r="F31" s="872">
        <f t="shared" ref="F31:J31" si="8">F29+F30</f>
        <v>437.35309975145992</v>
      </c>
      <c r="G31" s="872">
        <f t="shared" si="8"/>
        <v>443.02399687664285</v>
      </c>
      <c r="H31" s="872">
        <f t="shared" si="8"/>
        <v>456.87490302736154</v>
      </c>
      <c r="I31" s="872">
        <f t="shared" si="8"/>
        <v>499.02266666666657</v>
      </c>
      <c r="J31" s="1310">
        <f t="shared" si="8"/>
        <v>507.47793293283848</v>
      </c>
    </row>
    <row r="32" spans="1:12" ht="18.75">
      <c r="A32" s="848"/>
      <c r="B32" s="517"/>
      <c r="C32" s="517"/>
      <c r="D32" s="517"/>
      <c r="E32" s="517"/>
      <c r="F32" s="517"/>
      <c r="G32" s="517"/>
      <c r="H32" s="517"/>
      <c r="I32" s="517"/>
      <c r="J32" s="849"/>
    </row>
    <row r="33" spans="1:10" ht="18" customHeight="1">
      <c r="A33" s="873"/>
      <c r="B33" s="874"/>
      <c r="C33" s="874"/>
      <c r="D33" s="874"/>
      <c r="E33" s="874"/>
      <c r="F33" s="517"/>
      <c r="G33" s="517"/>
      <c r="H33" s="517"/>
      <c r="I33" s="517"/>
      <c r="J33" s="849"/>
    </row>
    <row r="34" spans="1:10" ht="25.15" customHeight="1">
      <c r="A34" s="873" t="s">
        <v>1001</v>
      </c>
      <c r="B34" s="874"/>
      <c r="C34" s="874"/>
      <c r="D34" s="874"/>
      <c r="E34" s="874"/>
      <c r="F34" s="517"/>
      <c r="G34" s="517"/>
      <c r="H34" s="517"/>
      <c r="I34" s="517"/>
      <c r="J34" s="849"/>
    </row>
    <row r="35" spans="1:10" ht="18.75">
      <c r="A35" s="848"/>
      <c r="B35" s="517"/>
      <c r="C35" s="517"/>
      <c r="D35" s="517"/>
      <c r="E35" s="517"/>
      <c r="F35" s="517"/>
      <c r="G35" s="517"/>
      <c r="H35" s="517"/>
      <c r="I35" s="517"/>
      <c r="J35" s="849"/>
    </row>
    <row r="36" spans="1:10" ht="18.75">
      <c r="A36" s="848"/>
      <c r="B36" s="517"/>
      <c r="C36" s="517"/>
      <c r="D36" s="517"/>
      <c r="E36" s="517"/>
      <c r="F36" s="517"/>
      <c r="G36" s="517"/>
      <c r="H36" s="517"/>
      <c r="I36" s="517"/>
      <c r="J36" s="849"/>
    </row>
    <row r="37" spans="1:10" ht="18.75">
      <c r="A37" s="848"/>
      <c r="B37" s="517"/>
      <c r="C37" s="517"/>
      <c r="D37" s="517"/>
      <c r="E37" s="517"/>
      <c r="F37" s="517"/>
      <c r="G37" s="517"/>
      <c r="H37" s="517"/>
      <c r="I37" s="657" t="s">
        <v>822</v>
      </c>
      <c r="J37" s="849"/>
    </row>
    <row r="38" spans="1:10" ht="19.5" thickBot="1">
      <c r="A38" s="875"/>
      <c r="B38" s="876"/>
      <c r="C38" s="876"/>
      <c r="D38" s="876"/>
      <c r="E38" s="876"/>
      <c r="F38" s="876"/>
      <c r="G38" s="876"/>
      <c r="H38" s="876"/>
      <c r="I38" s="876"/>
      <c r="J38" s="877"/>
    </row>
  </sheetData>
  <mergeCells count="2">
    <mergeCell ref="H9:I9"/>
    <mergeCell ref="A4:J4"/>
  </mergeCells>
  <pageMargins left="0.7" right="0.7" top="0.75" bottom="0.75" header="0.3" footer="0.3"/>
  <pageSetup scale="67" orientation="landscape" r:id="rId1"/>
</worksheet>
</file>

<file path=xl/worksheets/sheet16.xml><?xml version="1.0" encoding="utf-8"?>
<worksheet xmlns="http://schemas.openxmlformats.org/spreadsheetml/2006/main" xmlns:r="http://schemas.openxmlformats.org/officeDocument/2006/relationships">
  <sheetPr>
    <tabColor theme="9" tint="-0.249977111117893"/>
  </sheetPr>
  <dimension ref="A1:H86"/>
  <sheetViews>
    <sheetView zoomScale="172" zoomScaleNormal="172" workbookViewId="0">
      <selection activeCell="F23" sqref="F23"/>
    </sheetView>
  </sheetViews>
  <sheetFormatPr defaultRowHeight="12.75"/>
  <cols>
    <col min="1" max="1" width="5.33203125" customWidth="1"/>
    <col min="2" max="2" width="8.83203125" customWidth="1"/>
    <col min="3" max="3" width="18.1640625" customWidth="1"/>
    <col min="4" max="4" width="7.33203125" customWidth="1"/>
    <col min="5" max="5" width="7.83203125" customWidth="1"/>
    <col min="6" max="6" width="7.1640625" customWidth="1"/>
    <col min="7" max="7" width="7.33203125" customWidth="1"/>
    <col min="8" max="8" width="8.5" customWidth="1"/>
  </cols>
  <sheetData>
    <row r="1" spans="1:8" ht="57.75" customHeight="1">
      <c r="A1" s="1648" t="s">
        <v>17</v>
      </c>
      <c r="B1" s="1649"/>
      <c r="C1" s="1649"/>
      <c r="D1" s="1649"/>
      <c r="E1" s="1649"/>
      <c r="F1" s="1649"/>
      <c r="G1" s="1649"/>
      <c r="H1" s="1650"/>
    </row>
    <row r="2" spans="1:8" ht="8.25" customHeight="1">
      <c r="A2" s="1651" t="s">
        <v>18</v>
      </c>
      <c r="B2" s="1653" t="s">
        <v>19</v>
      </c>
      <c r="C2" s="1654"/>
      <c r="D2" s="1657" t="s">
        <v>20</v>
      </c>
      <c r="E2" s="1658"/>
      <c r="F2" s="1651" t="s">
        <v>21</v>
      </c>
      <c r="G2" s="1651" t="s">
        <v>22</v>
      </c>
      <c r="H2" s="1659" t="s">
        <v>23</v>
      </c>
    </row>
    <row r="3" spans="1:8" ht="25.5" customHeight="1">
      <c r="A3" s="1652"/>
      <c r="B3" s="1655"/>
      <c r="C3" s="1656"/>
      <c r="D3" s="11" t="s">
        <v>24</v>
      </c>
      <c r="E3" s="12" t="s">
        <v>25</v>
      </c>
      <c r="F3" s="1652"/>
      <c r="G3" s="1652"/>
      <c r="H3" s="1660"/>
    </row>
    <row r="4" spans="1:8" ht="9.75" customHeight="1">
      <c r="A4" s="14">
        <v>-1</v>
      </c>
      <c r="B4" s="1646">
        <v>-2</v>
      </c>
      <c r="C4" s="1647"/>
      <c r="D4" s="14">
        <v>-3</v>
      </c>
      <c r="E4" s="14">
        <v>-4</v>
      </c>
      <c r="F4" s="14">
        <v>-5</v>
      </c>
      <c r="G4" s="14">
        <v>-6</v>
      </c>
      <c r="H4" s="14">
        <v>-7</v>
      </c>
    </row>
    <row r="5" spans="1:8" ht="8.25" customHeight="1">
      <c r="A5" s="15">
        <v>1</v>
      </c>
      <c r="B5" s="1637" t="s">
        <v>26</v>
      </c>
      <c r="C5" s="1638"/>
      <c r="D5" s="2"/>
      <c r="E5" s="2"/>
      <c r="F5" s="2"/>
      <c r="G5" s="2"/>
      <c r="H5" s="2"/>
    </row>
    <row r="6" spans="1:8" ht="8.25" customHeight="1">
      <c r="A6" s="16">
        <v>1.1000000000000001</v>
      </c>
      <c r="B6" s="1644" t="s">
        <v>27</v>
      </c>
      <c r="C6" s="1645"/>
      <c r="D6" s="2"/>
      <c r="E6" s="2"/>
      <c r="F6" s="2"/>
      <c r="G6" s="2"/>
      <c r="H6" s="2"/>
    </row>
    <row r="7" spans="1:8" ht="8.25" customHeight="1">
      <c r="A7" s="16">
        <v>1.2</v>
      </c>
      <c r="B7" s="1644" t="s">
        <v>28</v>
      </c>
      <c r="C7" s="1645"/>
      <c r="D7" s="2"/>
      <c r="E7" s="2"/>
      <c r="F7" s="2"/>
      <c r="G7" s="2"/>
      <c r="H7" s="2"/>
    </row>
    <row r="8" spans="1:8" ht="8.25" customHeight="1">
      <c r="A8" s="16">
        <v>1.3</v>
      </c>
      <c r="B8" s="1644" t="s">
        <v>29</v>
      </c>
      <c r="C8" s="1645"/>
      <c r="D8" s="2"/>
      <c r="E8" s="2"/>
      <c r="F8" s="2"/>
      <c r="G8" s="2"/>
      <c r="H8" s="2"/>
    </row>
    <row r="9" spans="1:8" ht="8.25" customHeight="1">
      <c r="A9" s="2"/>
      <c r="B9" s="1637" t="s">
        <v>30</v>
      </c>
      <c r="C9" s="1638"/>
      <c r="D9" s="2"/>
      <c r="E9" s="2"/>
      <c r="F9" s="2"/>
      <c r="G9" s="2"/>
      <c r="H9" s="2"/>
    </row>
    <row r="10" spans="1:8" ht="8.25" customHeight="1">
      <c r="A10" s="15">
        <v>2</v>
      </c>
      <c r="B10" s="1637" t="s">
        <v>31</v>
      </c>
      <c r="C10" s="1638"/>
      <c r="D10" s="2"/>
      <c r="E10" s="2"/>
      <c r="F10" s="2"/>
      <c r="G10" s="2"/>
      <c r="H10" s="2"/>
    </row>
    <row r="11" spans="1:8" ht="6.95" customHeight="1">
      <c r="A11" s="2"/>
      <c r="B11" s="1642"/>
      <c r="C11" s="1643"/>
      <c r="D11" s="2"/>
      <c r="E11" s="2"/>
      <c r="F11" s="2"/>
      <c r="G11" s="2"/>
      <c r="H11" s="2"/>
    </row>
    <row r="12" spans="1:8" ht="8.25" customHeight="1">
      <c r="A12" s="15">
        <v>2.1</v>
      </c>
      <c r="B12" s="1637" t="s">
        <v>32</v>
      </c>
      <c r="C12" s="1638"/>
      <c r="D12" s="2"/>
      <c r="E12" s="2"/>
      <c r="F12" s="2"/>
      <c r="G12" s="2"/>
      <c r="H12" s="2"/>
    </row>
    <row r="13" spans="1:8" ht="8.25" customHeight="1">
      <c r="A13" s="15">
        <v>2.2000000000000002</v>
      </c>
      <c r="B13" s="1637" t="s">
        <v>33</v>
      </c>
      <c r="C13" s="1638"/>
      <c r="D13" s="2"/>
      <c r="E13" s="2"/>
      <c r="F13" s="2"/>
      <c r="G13" s="2"/>
      <c r="H13" s="2"/>
    </row>
    <row r="14" spans="1:8" ht="8.25" customHeight="1">
      <c r="A14" s="15">
        <v>2.2999999999999998</v>
      </c>
      <c r="B14" s="1637" t="s">
        <v>34</v>
      </c>
      <c r="C14" s="1638"/>
      <c r="D14" s="2"/>
      <c r="E14" s="2"/>
      <c r="F14" s="2"/>
      <c r="G14" s="2"/>
      <c r="H14" s="2"/>
    </row>
    <row r="15" spans="1:8" ht="8.25" customHeight="1">
      <c r="A15" s="17" t="s">
        <v>35</v>
      </c>
      <c r="B15" s="1644" t="s">
        <v>36</v>
      </c>
      <c r="C15" s="1645"/>
      <c r="D15" s="2"/>
      <c r="E15" s="2"/>
      <c r="F15" s="2"/>
      <c r="G15" s="2"/>
      <c r="H15" s="2"/>
    </row>
    <row r="16" spans="1:8" ht="8.25" customHeight="1">
      <c r="A16" s="17" t="s">
        <v>37</v>
      </c>
      <c r="B16" s="1644" t="s">
        <v>38</v>
      </c>
      <c r="C16" s="1645"/>
      <c r="D16" s="2"/>
      <c r="E16" s="2"/>
      <c r="F16" s="2"/>
      <c r="G16" s="2"/>
      <c r="H16" s="2"/>
    </row>
    <row r="17" spans="1:8" ht="8.25" customHeight="1">
      <c r="A17" s="17" t="s">
        <v>39</v>
      </c>
      <c r="B17" s="1644" t="s">
        <v>40</v>
      </c>
      <c r="C17" s="1645"/>
      <c r="D17" s="2"/>
      <c r="E17" s="2"/>
      <c r="F17" s="2"/>
      <c r="G17" s="2"/>
      <c r="H17" s="2"/>
    </row>
    <row r="18" spans="1:8" ht="8.25" customHeight="1">
      <c r="A18" s="17" t="s">
        <v>41</v>
      </c>
      <c r="B18" s="1644" t="s">
        <v>42</v>
      </c>
      <c r="C18" s="1645"/>
      <c r="D18" s="2"/>
      <c r="E18" s="2"/>
      <c r="F18" s="2"/>
      <c r="G18" s="2"/>
      <c r="H18" s="2"/>
    </row>
    <row r="19" spans="1:8" ht="8.25" customHeight="1">
      <c r="A19" s="17" t="s">
        <v>43</v>
      </c>
      <c r="B19" s="1644" t="s">
        <v>44</v>
      </c>
      <c r="C19" s="1645"/>
      <c r="D19" s="2"/>
      <c r="E19" s="2"/>
      <c r="F19" s="2"/>
      <c r="G19" s="2"/>
      <c r="H19" s="2"/>
    </row>
    <row r="20" spans="1:8" ht="8.25" customHeight="1">
      <c r="A20" s="17" t="s">
        <v>45</v>
      </c>
      <c r="B20" s="1644" t="s">
        <v>46</v>
      </c>
      <c r="C20" s="1645"/>
      <c r="D20" s="2"/>
      <c r="E20" s="2"/>
      <c r="F20" s="2"/>
      <c r="G20" s="2"/>
      <c r="H20" s="2"/>
    </row>
    <row r="21" spans="1:8" ht="8.25" customHeight="1">
      <c r="A21" s="17" t="s">
        <v>47</v>
      </c>
      <c r="B21" s="1644" t="s">
        <v>48</v>
      </c>
      <c r="C21" s="1645"/>
      <c r="D21" s="2"/>
      <c r="E21" s="2"/>
      <c r="F21" s="2"/>
      <c r="G21" s="2"/>
      <c r="H21" s="2"/>
    </row>
    <row r="22" spans="1:8" ht="8.25" customHeight="1">
      <c r="A22" s="17" t="s">
        <v>49</v>
      </c>
      <c r="B22" s="1644" t="s">
        <v>50</v>
      </c>
      <c r="C22" s="1645"/>
      <c r="D22" s="2"/>
      <c r="E22" s="2"/>
      <c r="F22" s="2"/>
      <c r="G22" s="2"/>
      <c r="H22" s="2"/>
    </row>
    <row r="23" spans="1:8" ht="8.25" customHeight="1">
      <c r="A23" s="17" t="s">
        <v>51</v>
      </c>
      <c r="B23" s="1644" t="s">
        <v>52</v>
      </c>
      <c r="C23" s="1645"/>
      <c r="D23" s="2"/>
      <c r="E23" s="2"/>
      <c r="F23" s="2"/>
      <c r="G23" s="2"/>
      <c r="H23" s="2"/>
    </row>
    <row r="24" spans="1:8" ht="8.25" customHeight="1">
      <c r="A24" s="18">
        <v>40212</v>
      </c>
      <c r="B24" s="1644" t="s">
        <v>53</v>
      </c>
      <c r="C24" s="1645"/>
      <c r="D24" s="2"/>
      <c r="E24" s="2"/>
      <c r="F24" s="2"/>
      <c r="G24" s="2"/>
      <c r="H24" s="2"/>
    </row>
    <row r="25" spans="1:8" ht="8.25" customHeight="1">
      <c r="A25" s="18">
        <v>40577</v>
      </c>
      <c r="B25" s="1644" t="s">
        <v>54</v>
      </c>
      <c r="C25" s="1645"/>
      <c r="D25" s="2"/>
      <c r="E25" s="2"/>
      <c r="F25" s="2"/>
      <c r="G25" s="2"/>
      <c r="H25" s="2"/>
    </row>
    <row r="26" spans="1:8" ht="8.25" customHeight="1">
      <c r="A26" s="18">
        <v>40942</v>
      </c>
      <c r="B26" s="1644" t="s">
        <v>55</v>
      </c>
      <c r="C26" s="1645"/>
      <c r="D26" s="2"/>
      <c r="E26" s="2"/>
      <c r="F26" s="2"/>
      <c r="G26" s="2"/>
      <c r="H26" s="2"/>
    </row>
    <row r="27" spans="1:8" ht="8.25" customHeight="1">
      <c r="A27" s="18">
        <v>41308</v>
      </c>
      <c r="B27" s="1644" t="s">
        <v>56</v>
      </c>
      <c r="C27" s="1645"/>
      <c r="D27" s="2"/>
      <c r="E27" s="2"/>
      <c r="F27" s="2"/>
      <c r="G27" s="2"/>
      <c r="H27" s="2"/>
    </row>
    <row r="28" spans="1:8" ht="8.25" customHeight="1">
      <c r="A28" s="18">
        <v>41673</v>
      </c>
      <c r="B28" s="1644" t="s">
        <v>57</v>
      </c>
      <c r="C28" s="1645"/>
      <c r="D28" s="2"/>
      <c r="E28" s="2"/>
      <c r="F28" s="2"/>
      <c r="G28" s="2"/>
      <c r="H28" s="2"/>
    </row>
    <row r="29" spans="1:8" ht="8.25" customHeight="1">
      <c r="A29" s="2"/>
      <c r="B29" s="1637" t="s">
        <v>58</v>
      </c>
      <c r="C29" s="1638"/>
      <c r="D29" s="2"/>
      <c r="E29" s="2"/>
      <c r="F29" s="2"/>
      <c r="G29" s="2"/>
      <c r="H29" s="2"/>
    </row>
    <row r="30" spans="1:8" ht="8.25" customHeight="1">
      <c r="A30" s="15">
        <v>2.4</v>
      </c>
      <c r="B30" s="1637" t="s">
        <v>59</v>
      </c>
      <c r="C30" s="1638"/>
      <c r="D30" s="2"/>
      <c r="E30" s="2"/>
      <c r="F30" s="2"/>
      <c r="G30" s="2"/>
      <c r="H30" s="2"/>
    </row>
    <row r="31" spans="1:8" ht="8.25" customHeight="1">
      <c r="A31" s="17" t="s">
        <v>60</v>
      </c>
      <c r="B31" s="1644" t="s">
        <v>61</v>
      </c>
      <c r="C31" s="1645"/>
      <c r="D31" s="2"/>
      <c r="E31" s="2"/>
      <c r="F31" s="2"/>
      <c r="G31" s="2"/>
      <c r="H31" s="2"/>
    </row>
    <row r="32" spans="1:8" ht="8.25" customHeight="1">
      <c r="A32" s="17" t="s">
        <v>62</v>
      </c>
      <c r="B32" s="1644" t="s">
        <v>63</v>
      </c>
      <c r="C32" s="1645"/>
      <c r="D32" s="2"/>
      <c r="E32" s="2"/>
      <c r="F32" s="2"/>
      <c r="G32" s="2"/>
      <c r="H32" s="2"/>
    </row>
    <row r="33" spans="1:8" ht="8.25" customHeight="1">
      <c r="A33" s="17" t="s">
        <v>64</v>
      </c>
      <c r="B33" s="1644" t="s">
        <v>65</v>
      </c>
      <c r="C33" s="1645"/>
      <c r="D33" s="2"/>
      <c r="E33" s="2"/>
      <c r="F33" s="2"/>
      <c r="G33" s="2"/>
      <c r="H33" s="2"/>
    </row>
    <row r="34" spans="1:8" ht="8.25" customHeight="1">
      <c r="A34" s="17" t="s">
        <v>66</v>
      </c>
      <c r="B34" s="1644" t="s">
        <v>67</v>
      </c>
      <c r="C34" s="1645"/>
      <c r="D34" s="2"/>
      <c r="E34" s="2"/>
      <c r="F34" s="2"/>
      <c r="G34" s="2"/>
      <c r="H34" s="2"/>
    </row>
    <row r="35" spans="1:8" ht="8.25" customHeight="1">
      <c r="A35" s="17" t="s">
        <v>68</v>
      </c>
      <c r="B35" s="1644" t="s">
        <v>69</v>
      </c>
      <c r="C35" s="1645"/>
      <c r="D35" s="2"/>
      <c r="E35" s="2"/>
      <c r="F35" s="2"/>
      <c r="G35" s="2"/>
      <c r="H35" s="2"/>
    </row>
    <row r="36" spans="1:8" ht="8.25" customHeight="1">
      <c r="A36" s="17" t="s">
        <v>70</v>
      </c>
      <c r="B36" s="1644" t="s">
        <v>71</v>
      </c>
      <c r="C36" s="1645"/>
      <c r="D36" s="2"/>
      <c r="E36" s="2"/>
      <c r="F36" s="2"/>
      <c r="G36" s="2"/>
      <c r="H36" s="2"/>
    </row>
    <row r="37" spans="1:8" ht="8.25" customHeight="1">
      <c r="A37" s="2"/>
      <c r="B37" s="1637" t="s">
        <v>72</v>
      </c>
      <c r="C37" s="1638"/>
      <c r="D37" s="2"/>
      <c r="E37" s="2"/>
      <c r="F37" s="2"/>
      <c r="G37" s="2"/>
      <c r="H37" s="2"/>
    </row>
    <row r="38" spans="1:8" ht="6.95" customHeight="1">
      <c r="A38" s="2"/>
      <c r="B38" s="1642"/>
      <c r="C38" s="1643"/>
      <c r="D38" s="2"/>
      <c r="E38" s="2"/>
      <c r="F38" s="2"/>
      <c r="G38" s="2"/>
      <c r="H38" s="2"/>
    </row>
    <row r="39" spans="1:8" ht="8.25" customHeight="1">
      <c r="A39" s="15">
        <v>2.5</v>
      </c>
      <c r="B39" s="1637" t="s">
        <v>73</v>
      </c>
      <c r="C39" s="1638"/>
      <c r="D39" s="2"/>
      <c r="E39" s="2"/>
      <c r="F39" s="2"/>
      <c r="G39" s="2"/>
      <c r="H39" s="2"/>
    </row>
    <row r="40" spans="1:8" ht="13.7" customHeight="1">
      <c r="A40" s="4"/>
      <c r="B40" s="1637" t="s">
        <v>74</v>
      </c>
      <c r="C40" s="1638"/>
      <c r="D40" s="4"/>
      <c r="E40" s="4"/>
      <c r="F40" s="4"/>
      <c r="G40" s="4"/>
      <c r="H40" s="4"/>
    </row>
    <row r="41" spans="1:8" ht="8.25" customHeight="1">
      <c r="A41" s="19">
        <v>2.6</v>
      </c>
      <c r="B41" s="1637" t="s">
        <v>75</v>
      </c>
      <c r="C41" s="1638"/>
      <c r="D41" s="2"/>
      <c r="E41" s="2"/>
      <c r="F41" s="2"/>
      <c r="G41" s="2"/>
      <c r="H41" s="2"/>
    </row>
    <row r="42" spans="1:8" ht="8.25" customHeight="1">
      <c r="A42" s="17" t="s">
        <v>76</v>
      </c>
      <c r="B42" s="1644" t="s">
        <v>77</v>
      </c>
      <c r="C42" s="1645"/>
      <c r="D42" s="2"/>
      <c r="E42" s="2"/>
      <c r="F42" s="2"/>
      <c r="G42" s="2"/>
      <c r="H42" s="2"/>
    </row>
    <row r="43" spans="1:8" ht="8.25" customHeight="1">
      <c r="A43" s="17" t="s">
        <v>78</v>
      </c>
      <c r="B43" s="1644" t="s">
        <v>79</v>
      </c>
      <c r="C43" s="1645"/>
      <c r="D43" s="2"/>
      <c r="E43" s="2"/>
      <c r="F43" s="2"/>
      <c r="G43" s="2"/>
      <c r="H43" s="2"/>
    </row>
    <row r="44" spans="1:8" ht="8.25" customHeight="1">
      <c r="A44" s="2"/>
      <c r="B44" s="1637" t="s">
        <v>80</v>
      </c>
      <c r="C44" s="1638"/>
      <c r="D44" s="2"/>
      <c r="E44" s="2"/>
      <c r="F44" s="2"/>
      <c r="G44" s="2"/>
      <c r="H44" s="2"/>
    </row>
    <row r="45" spans="1:8" ht="8.25" customHeight="1">
      <c r="A45" s="2"/>
      <c r="B45" s="1637" t="s">
        <v>81</v>
      </c>
      <c r="C45" s="1638"/>
      <c r="D45" s="2"/>
      <c r="E45" s="2"/>
      <c r="F45" s="2"/>
      <c r="G45" s="2"/>
      <c r="H45" s="2"/>
    </row>
    <row r="46" spans="1:8" ht="8.25" customHeight="1">
      <c r="A46" s="15">
        <v>3</v>
      </c>
      <c r="B46" s="1637" t="s">
        <v>82</v>
      </c>
      <c r="C46" s="1638"/>
      <c r="D46" s="2"/>
      <c r="E46" s="2"/>
      <c r="F46" s="2"/>
      <c r="G46" s="2"/>
      <c r="H46" s="2"/>
    </row>
    <row r="47" spans="1:8" ht="8.25" customHeight="1">
      <c r="A47" s="15">
        <v>4</v>
      </c>
      <c r="B47" s="1637" t="s">
        <v>83</v>
      </c>
      <c r="C47" s="1638"/>
      <c r="D47" s="2"/>
      <c r="E47" s="2"/>
      <c r="F47" s="2"/>
      <c r="G47" s="2"/>
      <c r="H47" s="2"/>
    </row>
    <row r="48" spans="1:8" ht="8.25" customHeight="1">
      <c r="A48" s="16">
        <v>4.0999999999999996</v>
      </c>
      <c r="B48" s="1644" t="s">
        <v>84</v>
      </c>
      <c r="C48" s="1645"/>
      <c r="D48" s="2"/>
      <c r="E48" s="2"/>
      <c r="F48" s="2"/>
      <c r="G48" s="2"/>
      <c r="H48" s="2"/>
    </row>
    <row r="49" spans="1:8" ht="8.25" customHeight="1">
      <c r="A49" s="16">
        <v>4.2</v>
      </c>
      <c r="B49" s="1644" t="s">
        <v>38</v>
      </c>
      <c r="C49" s="1645"/>
      <c r="D49" s="2"/>
      <c r="E49" s="2"/>
      <c r="F49" s="2"/>
      <c r="G49" s="2"/>
      <c r="H49" s="2"/>
    </row>
    <row r="50" spans="1:8" ht="8.25" customHeight="1">
      <c r="A50" s="16">
        <v>4.3</v>
      </c>
      <c r="B50" s="1644" t="s">
        <v>85</v>
      </c>
      <c r="C50" s="1645"/>
      <c r="D50" s="2"/>
      <c r="E50" s="2"/>
      <c r="F50" s="2"/>
      <c r="G50" s="2"/>
      <c r="H50" s="2"/>
    </row>
    <row r="51" spans="1:8" ht="8.25" customHeight="1">
      <c r="A51" s="16">
        <v>4.4000000000000004</v>
      </c>
      <c r="B51" s="1644" t="s">
        <v>40</v>
      </c>
      <c r="C51" s="1645"/>
      <c r="D51" s="2"/>
      <c r="E51" s="2"/>
      <c r="F51" s="2"/>
      <c r="G51" s="2"/>
      <c r="H51" s="2"/>
    </row>
    <row r="52" spans="1:8" ht="8.25" customHeight="1">
      <c r="A52" s="16">
        <v>4.5</v>
      </c>
      <c r="B52" s="1644" t="s">
        <v>42</v>
      </c>
      <c r="C52" s="1645"/>
      <c r="D52" s="2"/>
      <c r="E52" s="2"/>
      <c r="F52" s="2"/>
      <c r="G52" s="2"/>
      <c r="H52" s="2"/>
    </row>
    <row r="53" spans="1:8" ht="8.25" customHeight="1">
      <c r="A53" s="16">
        <v>4.5999999999999996</v>
      </c>
      <c r="B53" s="1644" t="s">
        <v>86</v>
      </c>
      <c r="C53" s="1645"/>
      <c r="D53" s="2"/>
      <c r="E53" s="2"/>
      <c r="F53" s="2"/>
      <c r="G53" s="2"/>
      <c r="H53" s="2"/>
    </row>
    <row r="54" spans="1:8" ht="8.25" customHeight="1">
      <c r="A54" s="16">
        <v>4.7</v>
      </c>
      <c r="B54" s="1644" t="s">
        <v>46</v>
      </c>
      <c r="C54" s="1645"/>
      <c r="D54" s="2"/>
      <c r="E54" s="2"/>
      <c r="F54" s="2"/>
      <c r="G54" s="2"/>
      <c r="H54" s="2"/>
    </row>
    <row r="55" spans="1:8" ht="8.25" customHeight="1">
      <c r="A55" s="16">
        <v>4.8</v>
      </c>
      <c r="B55" s="1644" t="s">
        <v>50</v>
      </c>
      <c r="C55" s="1645"/>
      <c r="D55" s="2"/>
      <c r="E55" s="2"/>
      <c r="F55" s="2"/>
      <c r="G55" s="2"/>
      <c r="H55" s="2"/>
    </row>
    <row r="56" spans="1:8" ht="8.25" customHeight="1">
      <c r="A56" s="16">
        <v>4.9000000000000004</v>
      </c>
      <c r="B56" s="1644" t="s">
        <v>87</v>
      </c>
      <c r="C56" s="1645"/>
      <c r="D56" s="2"/>
      <c r="E56" s="2"/>
      <c r="F56" s="2"/>
      <c r="G56" s="2"/>
      <c r="H56" s="2"/>
    </row>
    <row r="57" spans="1:8" ht="8.25" customHeight="1">
      <c r="A57" s="20">
        <v>4.0999999999999996</v>
      </c>
      <c r="B57" s="1644" t="s">
        <v>48</v>
      </c>
      <c r="C57" s="1645"/>
      <c r="D57" s="2"/>
      <c r="E57" s="2"/>
      <c r="F57" s="2"/>
      <c r="G57" s="2"/>
      <c r="H57" s="2"/>
    </row>
    <row r="58" spans="1:8" ht="8.25" customHeight="1">
      <c r="A58" s="20">
        <v>4.1100000000000003</v>
      </c>
      <c r="B58" s="1644" t="s">
        <v>88</v>
      </c>
      <c r="C58" s="1645"/>
      <c r="D58" s="2"/>
      <c r="E58" s="2"/>
      <c r="F58" s="2"/>
      <c r="G58" s="2"/>
      <c r="H58" s="2"/>
    </row>
    <row r="59" spans="1:8" ht="8.25" customHeight="1">
      <c r="A59" s="20">
        <v>4.12</v>
      </c>
      <c r="B59" s="1644" t="s">
        <v>56</v>
      </c>
      <c r="C59" s="1645"/>
      <c r="D59" s="2"/>
      <c r="E59" s="2"/>
      <c r="F59" s="2"/>
      <c r="G59" s="2"/>
      <c r="H59" s="2"/>
    </row>
    <row r="60" spans="1:8" ht="8.25" customHeight="1">
      <c r="A60" s="20">
        <v>4.13</v>
      </c>
      <c r="B60" s="1644" t="s">
        <v>89</v>
      </c>
      <c r="C60" s="1645"/>
      <c r="D60" s="2"/>
      <c r="E60" s="2"/>
      <c r="F60" s="2"/>
      <c r="G60" s="2"/>
      <c r="H60" s="2"/>
    </row>
    <row r="61" spans="1:8" ht="8.25" customHeight="1">
      <c r="A61" s="20">
        <v>4.1399999999999997</v>
      </c>
      <c r="B61" s="1644" t="s">
        <v>90</v>
      </c>
      <c r="C61" s="1645"/>
      <c r="D61" s="2"/>
      <c r="E61" s="2"/>
      <c r="F61" s="2"/>
      <c r="G61" s="2"/>
      <c r="H61" s="2"/>
    </row>
    <row r="62" spans="1:8" ht="8.25" customHeight="1">
      <c r="A62" s="20">
        <v>4.1500000000000004</v>
      </c>
      <c r="B62" s="1644" t="s">
        <v>91</v>
      </c>
      <c r="C62" s="1645"/>
      <c r="D62" s="2"/>
      <c r="E62" s="2"/>
      <c r="F62" s="2"/>
      <c r="G62" s="2"/>
      <c r="H62" s="2"/>
    </row>
    <row r="63" spans="1:8" ht="8.25" customHeight="1">
      <c r="A63" s="2"/>
      <c r="B63" s="1637" t="s">
        <v>92</v>
      </c>
      <c r="C63" s="1638"/>
      <c r="D63" s="2"/>
      <c r="E63" s="2"/>
      <c r="F63" s="2"/>
      <c r="G63" s="2"/>
      <c r="H63" s="2"/>
    </row>
    <row r="64" spans="1:8" ht="6.95" customHeight="1">
      <c r="A64" s="2"/>
      <c r="B64" s="1642"/>
      <c r="C64" s="1643"/>
      <c r="D64" s="2"/>
      <c r="E64" s="2"/>
      <c r="F64" s="2"/>
      <c r="G64" s="2"/>
      <c r="H64" s="2"/>
    </row>
    <row r="65" spans="1:8" ht="13.7" customHeight="1">
      <c r="A65" s="15">
        <v>5</v>
      </c>
      <c r="B65" s="1637" t="s">
        <v>93</v>
      </c>
      <c r="C65" s="1638"/>
      <c r="D65" s="4"/>
      <c r="E65" s="4"/>
      <c r="F65" s="4"/>
      <c r="G65" s="4"/>
      <c r="H65" s="4"/>
    </row>
    <row r="66" spans="1:8" ht="6.75" customHeight="1">
      <c r="A66" s="2"/>
      <c r="B66" s="1642"/>
      <c r="C66" s="1643"/>
      <c r="D66" s="2"/>
      <c r="E66" s="2"/>
      <c r="F66" s="2"/>
      <c r="G66" s="2"/>
      <c r="H66" s="2"/>
    </row>
    <row r="67" spans="1:8" ht="8.25" customHeight="1">
      <c r="A67" s="16">
        <v>5.0999999999999996</v>
      </c>
      <c r="B67" s="1644" t="s">
        <v>94</v>
      </c>
      <c r="C67" s="1645"/>
      <c r="D67" s="2"/>
      <c r="E67" s="2"/>
      <c r="F67" s="2"/>
      <c r="G67" s="2"/>
      <c r="H67" s="2"/>
    </row>
    <row r="68" spans="1:8" ht="8.25" customHeight="1">
      <c r="A68" s="16">
        <v>5.2</v>
      </c>
      <c r="B68" s="1644" t="s">
        <v>95</v>
      </c>
      <c r="C68" s="1645"/>
      <c r="D68" s="2"/>
      <c r="E68" s="2"/>
      <c r="F68" s="2"/>
      <c r="G68" s="2"/>
      <c r="H68" s="2"/>
    </row>
    <row r="69" spans="1:8" ht="8.25" customHeight="1">
      <c r="A69" s="16">
        <v>5.3</v>
      </c>
      <c r="B69" s="1644" t="s">
        <v>96</v>
      </c>
      <c r="C69" s="1645"/>
      <c r="D69" s="2"/>
      <c r="E69" s="2"/>
      <c r="F69" s="2"/>
      <c r="G69" s="2"/>
      <c r="H69" s="2"/>
    </row>
    <row r="70" spans="1:8" ht="8.25" customHeight="1">
      <c r="A70" s="16">
        <v>5.4</v>
      </c>
      <c r="B70" s="1644" t="s">
        <v>97</v>
      </c>
      <c r="C70" s="1645"/>
      <c r="D70" s="2"/>
      <c r="E70" s="2"/>
      <c r="F70" s="2"/>
      <c r="G70" s="2"/>
      <c r="H70" s="2"/>
    </row>
    <row r="71" spans="1:8" ht="8.25" customHeight="1">
      <c r="A71" s="16">
        <v>5.5</v>
      </c>
      <c r="B71" s="1644" t="s">
        <v>98</v>
      </c>
      <c r="C71" s="1645"/>
      <c r="D71" s="2"/>
      <c r="E71" s="2"/>
      <c r="F71" s="2"/>
      <c r="G71" s="2"/>
      <c r="H71" s="2"/>
    </row>
    <row r="72" spans="1:8" ht="8.25" customHeight="1">
      <c r="A72" s="16">
        <v>5.6</v>
      </c>
      <c r="B72" s="1644" t="s">
        <v>99</v>
      </c>
      <c r="C72" s="1645"/>
      <c r="D72" s="2"/>
      <c r="E72" s="2"/>
      <c r="F72" s="2"/>
      <c r="G72" s="2"/>
      <c r="H72" s="2"/>
    </row>
    <row r="73" spans="1:8" ht="13.7" customHeight="1">
      <c r="A73" s="4"/>
      <c r="B73" s="1637" t="s">
        <v>100</v>
      </c>
      <c r="C73" s="1638"/>
      <c r="D73" s="4"/>
      <c r="E73" s="4"/>
      <c r="F73" s="4"/>
      <c r="G73" s="4"/>
      <c r="H73" s="4"/>
    </row>
    <row r="74" spans="1:8" ht="8.25" customHeight="1">
      <c r="A74" s="15">
        <v>6</v>
      </c>
      <c r="B74" s="1637" t="s">
        <v>101</v>
      </c>
      <c r="C74" s="1638"/>
      <c r="D74" s="2"/>
      <c r="E74" s="2"/>
      <c r="F74" s="2"/>
      <c r="G74" s="2"/>
      <c r="H74" s="2"/>
    </row>
    <row r="75" spans="1:8" ht="8.25" customHeight="1">
      <c r="A75" s="16">
        <v>6.1</v>
      </c>
      <c r="B75" s="1644" t="s">
        <v>102</v>
      </c>
      <c r="C75" s="1645"/>
      <c r="D75" s="2"/>
      <c r="E75" s="2"/>
      <c r="F75" s="2"/>
      <c r="G75" s="2"/>
      <c r="H75" s="2"/>
    </row>
    <row r="76" spans="1:8" ht="8.25" customHeight="1">
      <c r="A76" s="16">
        <v>6.2</v>
      </c>
      <c r="B76" s="1644" t="s">
        <v>103</v>
      </c>
      <c r="C76" s="1645"/>
      <c r="D76" s="2"/>
      <c r="E76" s="2"/>
      <c r="F76" s="2"/>
      <c r="G76" s="2"/>
      <c r="H76" s="2"/>
    </row>
    <row r="77" spans="1:8" ht="8.25" customHeight="1">
      <c r="A77" s="16">
        <v>6.3</v>
      </c>
      <c r="B77" s="1644" t="s">
        <v>104</v>
      </c>
      <c r="C77" s="1645"/>
      <c r="D77" s="2"/>
      <c r="E77" s="2"/>
      <c r="F77" s="2"/>
      <c r="G77" s="2"/>
      <c r="H77" s="2"/>
    </row>
    <row r="78" spans="1:8" ht="8.25" customHeight="1">
      <c r="A78" s="16">
        <v>6.4</v>
      </c>
      <c r="B78" s="1644" t="s">
        <v>105</v>
      </c>
      <c r="C78" s="1645"/>
      <c r="D78" s="2"/>
      <c r="E78" s="2"/>
      <c r="F78" s="2"/>
      <c r="G78" s="2"/>
      <c r="H78" s="2"/>
    </row>
    <row r="79" spans="1:8" ht="8.25" customHeight="1">
      <c r="A79" s="2"/>
      <c r="B79" s="1637" t="s">
        <v>106</v>
      </c>
      <c r="C79" s="1638"/>
      <c r="D79" s="2"/>
      <c r="E79" s="2"/>
      <c r="F79" s="2"/>
      <c r="G79" s="2"/>
      <c r="H79" s="2"/>
    </row>
    <row r="80" spans="1:8" ht="6.95" customHeight="1">
      <c r="A80" s="2"/>
      <c r="B80" s="1642"/>
      <c r="C80" s="1643"/>
      <c r="D80" s="2"/>
      <c r="E80" s="2"/>
      <c r="F80" s="2"/>
      <c r="G80" s="2"/>
      <c r="H80" s="2"/>
    </row>
    <row r="81" spans="1:8" ht="8.25" customHeight="1">
      <c r="A81" s="15">
        <v>7</v>
      </c>
      <c r="B81" s="1637" t="s">
        <v>107</v>
      </c>
      <c r="C81" s="1638"/>
      <c r="D81" s="2"/>
      <c r="E81" s="2"/>
      <c r="F81" s="2"/>
      <c r="G81" s="2"/>
      <c r="H81" s="2"/>
    </row>
    <row r="82" spans="1:8" ht="9" customHeight="1">
      <c r="A82" s="16">
        <v>7.1</v>
      </c>
      <c r="B82" s="1644" t="s">
        <v>108</v>
      </c>
      <c r="C82" s="1645"/>
      <c r="D82" s="2"/>
      <c r="E82" s="2"/>
      <c r="F82" s="2"/>
      <c r="G82" s="2"/>
      <c r="H82" s="2"/>
    </row>
    <row r="83" spans="1:8" ht="8.25" customHeight="1">
      <c r="A83" s="16">
        <v>7.2</v>
      </c>
      <c r="B83" s="1644" t="s">
        <v>109</v>
      </c>
      <c r="C83" s="1645"/>
      <c r="D83" s="2"/>
      <c r="E83" s="2"/>
      <c r="F83" s="2"/>
      <c r="G83" s="2"/>
      <c r="H83" s="2"/>
    </row>
    <row r="84" spans="1:8" ht="8.25" customHeight="1">
      <c r="A84" s="15">
        <v>8</v>
      </c>
      <c r="B84" s="1637" t="s">
        <v>110</v>
      </c>
      <c r="C84" s="1638"/>
      <c r="D84" s="2"/>
      <c r="E84" s="2"/>
      <c r="F84" s="2"/>
      <c r="G84" s="2"/>
      <c r="H84" s="2"/>
    </row>
    <row r="85" spans="1:8" ht="16.5" customHeight="1">
      <c r="A85" s="1639" t="s">
        <v>111</v>
      </c>
      <c r="B85" s="1640"/>
      <c r="C85" s="1640"/>
      <c r="D85" s="1640"/>
      <c r="E85" s="1640"/>
      <c r="F85" s="1640"/>
      <c r="G85" s="1640"/>
      <c r="H85" s="1641"/>
    </row>
    <row r="86" spans="1:8" ht="6.75" customHeight="1">
      <c r="A86" s="21" t="s">
        <v>112</v>
      </c>
    </row>
  </sheetData>
  <mergeCells count="89">
    <mergeCell ref="A1:H1"/>
    <mergeCell ref="A2:A3"/>
    <mergeCell ref="B2:C3"/>
    <mergeCell ref="D2:E2"/>
    <mergeCell ref="F2:F3"/>
    <mergeCell ref="G2:G3"/>
    <mergeCell ref="H2:H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84:C84"/>
    <mergeCell ref="A85:H85"/>
    <mergeCell ref="B79:C79"/>
    <mergeCell ref="B80:C80"/>
    <mergeCell ref="B81:C81"/>
    <mergeCell ref="B82:C82"/>
    <mergeCell ref="B83:C83"/>
  </mergeCells>
  <pageMargins left="0.7" right="0.7" top="0.75" bottom="0.75" header="0.3" footer="0.3"/>
  <pageSetup paperSize="9" orientation="portrait" horizontalDpi="4294967293" verticalDpi="4294967295" r:id="rId1"/>
  <drawing r:id="rId2"/>
</worksheet>
</file>

<file path=xl/worksheets/sheet17.xml><?xml version="1.0" encoding="utf-8"?>
<worksheet xmlns="http://schemas.openxmlformats.org/spreadsheetml/2006/main" xmlns:r="http://schemas.openxmlformats.org/officeDocument/2006/relationships">
  <dimension ref="A1:G77"/>
  <sheetViews>
    <sheetView zoomScale="202" zoomScaleNormal="202" workbookViewId="0">
      <selection activeCell="J3" sqref="J3"/>
    </sheetView>
  </sheetViews>
  <sheetFormatPr defaultRowHeight="12.75"/>
  <cols>
    <col min="1" max="1" width="5.83203125" customWidth="1"/>
    <col min="2" max="2" width="30.5" customWidth="1"/>
    <col min="3" max="3" width="8.6640625" customWidth="1"/>
    <col min="4" max="4" width="8.5" customWidth="1"/>
    <col min="5" max="6" width="8" customWidth="1"/>
    <col min="7" max="7" width="9.5" customWidth="1"/>
  </cols>
  <sheetData>
    <row r="1" spans="1:7" ht="61.7" customHeight="1">
      <c r="A1" s="1648" t="s">
        <v>113</v>
      </c>
      <c r="B1" s="1649"/>
      <c r="C1" s="1649"/>
      <c r="D1" s="1649"/>
      <c r="E1" s="1649"/>
      <c r="F1" s="1649"/>
      <c r="G1" s="1650"/>
    </row>
    <row r="2" spans="1:7" ht="8.25" customHeight="1">
      <c r="A2" s="1666" t="s">
        <v>114</v>
      </c>
      <c r="B2" s="1668" t="s">
        <v>115</v>
      </c>
      <c r="C2" s="1670" t="s">
        <v>116</v>
      </c>
      <c r="D2" s="1671"/>
      <c r="E2" s="1666" t="s">
        <v>117</v>
      </c>
      <c r="F2" s="1666" t="s">
        <v>118</v>
      </c>
      <c r="G2" s="1659" t="s">
        <v>119</v>
      </c>
    </row>
    <row r="3" spans="1:7" ht="22.35" customHeight="1">
      <c r="A3" s="1667"/>
      <c r="B3" s="1669"/>
      <c r="C3" s="22" t="s">
        <v>120</v>
      </c>
      <c r="D3" s="23" t="s">
        <v>121</v>
      </c>
      <c r="E3" s="1667"/>
      <c r="F3" s="1667"/>
      <c r="G3" s="1660"/>
    </row>
    <row r="4" spans="1:7" ht="8.25" customHeight="1">
      <c r="A4" s="24">
        <v>-1</v>
      </c>
      <c r="B4" s="25">
        <v>-2</v>
      </c>
      <c r="C4" s="25">
        <v>-3</v>
      </c>
      <c r="D4" s="25">
        <v>-4</v>
      </c>
      <c r="E4" s="25">
        <v>-5</v>
      </c>
      <c r="F4" s="25">
        <v>-6</v>
      </c>
      <c r="G4" s="25">
        <v>-7</v>
      </c>
    </row>
    <row r="5" spans="1:7" ht="8.25" customHeight="1">
      <c r="A5" s="26">
        <v>1</v>
      </c>
      <c r="B5" s="22" t="s">
        <v>122</v>
      </c>
      <c r="C5" s="2"/>
      <c r="D5" s="2"/>
      <c r="E5" s="2"/>
      <c r="F5" s="2"/>
      <c r="G5" s="2"/>
    </row>
    <row r="6" spans="1:7" ht="8.25" customHeight="1">
      <c r="A6" s="27">
        <v>1.1000000000000001</v>
      </c>
      <c r="B6" s="28" t="s">
        <v>123</v>
      </c>
      <c r="C6" s="2"/>
      <c r="D6" s="2"/>
      <c r="E6" s="2"/>
      <c r="F6" s="2"/>
      <c r="G6" s="2"/>
    </row>
    <row r="7" spans="1:7" ht="8.25" customHeight="1">
      <c r="A7" s="27">
        <v>1.2</v>
      </c>
      <c r="B7" s="28" t="s">
        <v>124</v>
      </c>
      <c r="C7" s="2"/>
      <c r="D7" s="2"/>
      <c r="E7" s="2"/>
      <c r="F7" s="2"/>
      <c r="G7" s="2"/>
    </row>
    <row r="8" spans="1:7" ht="8.25" customHeight="1">
      <c r="A8" s="27">
        <v>1.3</v>
      </c>
      <c r="B8" s="28" t="s">
        <v>125</v>
      </c>
      <c r="C8" s="2"/>
      <c r="D8" s="2"/>
      <c r="E8" s="2"/>
      <c r="F8" s="2"/>
      <c r="G8" s="2"/>
    </row>
    <row r="9" spans="1:7" ht="8.25" customHeight="1">
      <c r="A9" s="2"/>
      <c r="B9" s="22" t="s">
        <v>126</v>
      </c>
      <c r="C9" s="2"/>
      <c r="D9" s="2"/>
      <c r="E9" s="2"/>
      <c r="F9" s="2"/>
      <c r="G9" s="2"/>
    </row>
    <row r="10" spans="1:7" ht="8.25" customHeight="1">
      <c r="A10" s="26">
        <v>2</v>
      </c>
      <c r="B10" s="22" t="s">
        <v>127</v>
      </c>
      <c r="C10" s="2"/>
      <c r="D10" s="2"/>
      <c r="E10" s="2"/>
      <c r="F10" s="2"/>
      <c r="G10" s="2"/>
    </row>
    <row r="11" spans="1:7" ht="7.7" customHeight="1">
      <c r="A11" s="2"/>
      <c r="B11" s="2"/>
      <c r="C11" s="2"/>
      <c r="D11" s="2"/>
      <c r="E11" s="2"/>
      <c r="F11" s="2"/>
      <c r="G11" s="2"/>
    </row>
    <row r="12" spans="1:7" ht="8.25" customHeight="1">
      <c r="A12" s="26">
        <v>2.1</v>
      </c>
      <c r="B12" s="22" t="s">
        <v>128</v>
      </c>
      <c r="C12" s="2"/>
      <c r="D12" s="2"/>
      <c r="E12" s="2"/>
      <c r="F12" s="2"/>
      <c r="G12" s="2"/>
    </row>
    <row r="13" spans="1:7" ht="8.25" customHeight="1">
      <c r="A13" s="26">
        <v>2.2000000000000002</v>
      </c>
      <c r="B13" s="22" t="s">
        <v>129</v>
      </c>
      <c r="C13" s="2"/>
      <c r="D13" s="2"/>
      <c r="E13" s="2"/>
      <c r="F13" s="2"/>
      <c r="G13" s="2"/>
    </row>
    <row r="14" spans="1:7" ht="8.25" customHeight="1">
      <c r="A14" s="26">
        <v>2.2999999999999998</v>
      </c>
      <c r="B14" s="22" t="s">
        <v>130</v>
      </c>
      <c r="C14" s="2"/>
      <c r="D14" s="2"/>
      <c r="E14" s="2"/>
      <c r="F14" s="2"/>
      <c r="G14" s="2"/>
    </row>
    <row r="15" spans="1:7" ht="8.25" customHeight="1">
      <c r="A15" s="26">
        <v>2.4</v>
      </c>
      <c r="B15" s="22" t="s">
        <v>131</v>
      </c>
      <c r="C15" s="2"/>
      <c r="D15" s="2"/>
      <c r="E15" s="2"/>
      <c r="F15" s="2"/>
      <c r="G15" s="2"/>
    </row>
    <row r="16" spans="1:7" ht="8.25" customHeight="1">
      <c r="A16" s="29" t="s">
        <v>132</v>
      </c>
      <c r="B16" s="28" t="s">
        <v>133</v>
      </c>
      <c r="C16" s="2"/>
      <c r="D16" s="2"/>
      <c r="E16" s="2"/>
      <c r="F16" s="2"/>
      <c r="G16" s="2"/>
    </row>
    <row r="17" spans="1:7" ht="8.25" customHeight="1">
      <c r="A17" s="29" t="s">
        <v>134</v>
      </c>
      <c r="B17" s="28" t="s">
        <v>135</v>
      </c>
      <c r="C17" s="2"/>
      <c r="D17" s="2"/>
      <c r="E17" s="2"/>
      <c r="F17" s="2"/>
      <c r="G17" s="2"/>
    </row>
    <row r="18" spans="1:7" ht="8.25" customHeight="1">
      <c r="A18" s="29" t="s">
        <v>136</v>
      </c>
      <c r="B18" s="28" t="s">
        <v>137</v>
      </c>
      <c r="C18" s="2"/>
      <c r="D18" s="2"/>
      <c r="E18" s="2"/>
      <c r="F18" s="2"/>
      <c r="G18" s="2"/>
    </row>
    <row r="19" spans="1:7" ht="8.25" customHeight="1">
      <c r="A19" s="29" t="s">
        <v>138</v>
      </c>
      <c r="B19" s="28" t="s">
        <v>139</v>
      </c>
      <c r="C19" s="2"/>
      <c r="D19" s="2"/>
      <c r="E19" s="2"/>
      <c r="F19" s="2"/>
      <c r="G19" s="2"/>
    </row>
    <row r="20" spans="1:7" ht="8.25" customHeight="1">
      <c r="A20" s="29" t="s">
        <v>140</v>
      </c>
      <c r="B20" s="28" t="s">
        <v>141</v>
      </c>
      <c r="C20" s="2"/>
      <c r="D20" s="2"/>
      <c r="E20" s="2"/>
      <c r="F20" s="2"/>
      <c r="G20" s="2"/>
    </row>
    <row r="21" spans="1:7" ht="8.25" customHeight="1">
      <c r="A21" s="29" t="s">
        <v>142</v>
      </c>
      <c r="B21" s="28" t="s">
        <v>143</v>
      </c>
      <c r="C21" s="2"/>
      <c r="D21" s="2"/>
      <c r="E21" s="2"/>
      <c r="F21" s="2"/>
      <c r="G21" s="2"/>
    </row>
    <row r="22" spans="1:7" ht="8.25" customHeight="1">
      <c r="A22" s="29" t="s">
        <v>144</v>
      </c>
      <c r="B22" s="28" t="s">
        <v>145</v>
      </c>
      <c r="C22" s="2"/>
      <c r="D22" s="2"/>
      <c r="E22" s="2"/>
      <c r="F22" s="2"/>
      <c r="G22" s="2"/>
    </row>
    <row r="23" spans="1:7" ht="8.25" customHeight="1">
      <c r="A23" s="29" t="s">
        <v>146</v>
      </c>
      <c r="B23" s="28" t="s">
        <v>147</v>
      </c>
      <c r="C23" s="2"/>
      <c r="D23" s="2"/>
      <c r="E23" s="2"/>
      <c r="F23" s="2"/>
      <c r="G23" s="2"/>
    </row>
    <row r="24" spans="1:7" ht="8.25" customHeight="1">
      <c r="A24" s="29" t="s">
        <v>148</v>
      </c>
      <c r="B24" s="28" t="s">
        <v>149</v>
      </c>
      <c r="C24" s="2"/>
      <c r="D24" s="2"/>
      <c r="E24" s="2"/>
      <c r="F24" s="2"/>
      <c r="G24" s="2"/>
    </row>
    <row r="25" spans="1:7" ht="8.85" customHeight="1">
      <c r="A25" s="30">
        <v>40213</v>
      </c>
      <c r="B25" s="1661" t="s">
        <v>150</v>
      </c>
      <c r="C25" s="2"/>
      <c r="D25" s="2"/>
      <c r="E25" s="2"/>
      <c r="F25" s="2"/>
      <c r="G25" s="2"/>
    </row>
    <row r="26" spans="1:7" ht="7.7" customHeight="1">
      <c r="A26" s="2"/>
      <c r="B26" s="1662"/>
      <c r="C26" s="2"/>
      <c r="D26" s="2"/>
      <c r="E26" s="2"/>
      <c r="F26" s="2"/>
      <c r="G26" s="2"/>
    </row>
    <row r="27" spans="1:7" ht="8.25" customHeight="1">
      <c r="A27" s="26">
        <v>2.5</v>
      </c>
      <c r="B27" s="22" t="s">
        <v>151</v>
      </c>
      <c r="C27" s="2"/>
      <c r="D27" s="2"/>
      <c r="E27" s="2"/>
      <c r="F27" s="2"/>
      <c r="G27" s="2"/>
    </row>
    <row r="28" spans="1:7" ht="8.25" customHeight="1">
      <c r="A28" s="29" t="s">
        <v>152</v>
      </c>
      <c r="B28" s="28" t="s">
        <v>153</v>
      </c>
      <c r="C28" s="2"/>
      <c r="D28" s="2"/>
      <c r="E28" s="2"/>
      <c r="F28" s="2"/>
      <c r="G28" s="2"/>
    </row>
    <row r="29" spans="1:7" ht="8.25" customHeight="1">
      <c r="A29" s="29" t="s">
        <v>154</v>
      </c>
      <c r="B29" s="28" t="s">
        <v>155</v>
      </c>
      <c r="C29" s="2"/>
      <c r="D29" s="2"/>
      <c r="E29" s="2"/>
      <c r="F29" s="2"/>
      <c r="G29" s="2"/>
    </row>
    <row r="30" spans="1:7" ht="8.25" customHeight="1">
      <c r="A30" s="29" t="s">
        <v>156</v>
      </c>
      <c r="B30" s="28" t="s">
        <v>157</v>
      </c>
      <c r="C30" s="2"/>
      <c r="D30" s="2"/>
      <c r="E30" s="2"/>
      <c r="F30" s="2"/>
      <c r="G30" s="2"/>
    </row>
    <row r="31" spans="1:7" ht="8.25" customHeight="1">
      <c r="A31" s="29" t="s">
        <v>158</v>
      </c>
      <c r="B31" s="28" t="s">
        <v>159</v>
      </c>
      <c r="C31" s="2"/>
      <c r="D31" s="2"/>
      <c r="E31" s="2"/>
      <c r="F31" s="2"/>
      <c r="G31" s="2"/>
    </row>
    <row r="32" spans="1:7" ht="8.25" customHeight="1">
      <c r="A32" s="29" t="s">
        <v>160</v>
      </c>
      <c r="B32" s="28" t="s">
        <v>161</v>
      </c>
      <c r="C32" s="2"/>
      <c r="D32" s="2"/>
      <c r="E32" s="2"/>
      <c r="F32" s="2"/>
      <c r="G32" s="2"/>
    </row>
    <row r="33" spans="1:7" ht="8.25" customHeight="1">
      <c r="A33" s="29" t="s">
        <v>162</v>
      </c>
      <c r="B33" s="28" t="s">
        <v>163</v>
      </c>
      <c r="C33" s="2"/>
      <c r="D33" s="2"/>
      <c r="E33" s="2"/>
      <c r="F33" s="2"/>
      <c r="G33" s="2"/>
    </row>
    <row r="34" spans="1:7" ht="8.25" customHeight="1">
      <c r="A34" s="2"/>
      <c r="B34" s="22" t="s">
        <v>164</v>
      </c>
      <c r="C34" s="2"/>
      <c r="D34" s="2"/>
      <c r="E34" s="2"/>
      <c r="F34" s="2"/>
      <c r="G34" s="2"/>
    </row>
    <row r="35" spans="1:7" ht="8.25" customHeight="1">
      <c r="A35" s="26">
        <v>2.6</v>
      </c>
      <c r="B35" s="22" t="s">
        <v>165</v>
      </c>
      <c r="C35" s="2"/>
      <c r="D35" s="2"/>
      <c r="E35" s="2"/>
      <c r="F35" s="2"/>
      <c r="G35" s="2"/>
    </row>
    <row r="36" spans="1:7" ht="15.2" customHeight="1">
      <c r="A36" s="4"/>
      <c r="B36" s="22" t="s">
        <v>166</v>
      </c>
      <c r="C36" s="4"/>
      <c r="D36" s="4"/>
      <c r="E36" s="4"/>
      <c r="F36" s="4"/>
      <c r="G36" s="4"/>
    </row>
    <row r="37" spans="1:7" ht="8.25" customHeight="1">
      <c r="A37" s="26">
        <v>2.7</v>
      </c>
      <c r="B37" s="22" t="s">
        <v>167</v>
      </c>
      <c r="C37" s="2"/>
      <c r="D37" s="2"/>
      <c r="E37" s="2"/>
      <c r="F37" s="2"/>
      <c r="G37" s="2"/>
    </row>
    <row r="38" spans="1:7" ht="8.25" customHeight="1">
      <c r="A38" s="29" t="s">
        <v>168</v>
      </c>
      <c r="B38" s="28" t="s">
        <v>169</v>
      </c>
      <c r="C38" s="2"/>
      <c r="D38" s="2"/>
      <c r="E38" s="2"/>
      <c r="F38" s="2"/>
      <c r="G38" s="2"/>
    </row>
    <row r="39" spans="1:7" ht="8.25" customHeight="1">
      <c r="A39" s="29" t="s">
        <v>170</v>
      </c>
      <c r="B39" s="28" t="s">
        <v>171</v>
      </c>
      <c r="C39" s="2"/>
      <c r="D39" s="2"/>
      <c r="E39" s="2"/>
      <c r="F39" s="2"/>
      <c r="G39" s="2"/>
    </row>
    <row r="40" spans="1:7" ht="8.25" customHeight="1">
      <c r="A40" s="2"/>
      <c r="B40" s="22" t="s">
        <v>172</v>
      </c>
      <c r="C40" s="2"/>
      <c r="D40" s="2"/>
      <c r="E40" s="2"/>
      <c r="F40" s="2"/>
      <c r="G40" s="2"/>
    </row>
    <row r="41" spans="1:7" ht="8.25" customHeight="1">
      <c r="A41" s="2"/>
      <c r="B41" s="22" t="s">
        <v>173</v>
      </c>
      <c r="C41" s="2"/>
      <c r="D41" s="2"/>
      <c r="E41" s="2"/>
      <c r="F41" s="2"/>
      <c r="G41" s="2"/>
    </row>
    <row r="42" spans="1:7" ht="8.25" customHeight="1">
      <c r="A42" s="26">
        <v>3</v>
      </c>
      <c r="B42" s="22" t="s">
        <v>174</v>
      </c>
      <c r="C42" s="2"/>
      <c r="D42" s="2"/>
      <c r="E42" s="2"/>
      <c r="F42" s="2"/>
      <c r="G42" s="2"/>
    </row>
    <row r="43" spans="1:7" ht="8.25" customHeight="1">
      <c r="A43" s="26">
        <v>4</v>
      </c>
      <c r="B43" s="22" t="s">
        <v>175</v>
      </c>
      <c r="C43" s="2"/>
      <c r="D43" s="2"/>
      <c r="E43" s="2"/>
      <c r="F43" s="2"/>
      <c r="G43" s="2"/>
    </row>
    <row r="44" spans="1:7" ht="8.25" customHeight="1">
      <c r="A44" s="27">
        <v>4.0999999999999996</v>
      </c>
      <c r="B44" s="28" t="s">
        <v>176</v>
      </c>
      <c r="C44" s="2"/>
      <c r="D44" s="2"/>
      <c r="E44" s="2"/>
      <c r="F44" s="2"/>
      <c r="G44" s="2"/>
    </row>
    <row r="45" spans="1:7" ht="8.25" customHeight="1">
      <c r="A45" s="27">
        <v>4.2</v>
      </c>
      <c r="B45" s="28" t="s">
        <v>135</v>
      </c>
      <c r="C45" s="2"/>
      <c r="D45" s="2"/>
      <c r="E45" s="2"/>
      <c r="F45" s="2"/>
      <c r="G45" s="2"/>
    </row>
    <row r="46" spans="1:7" ht="8.25" customHeight="1">
      <c r="A46" s="27">
        <v>4.3</v>
      </c>
      <c r="B46" s="28" t="s">
        <v>137</v>
      </c>
      <c r="C46" s="2"/>
      <c r="D46" s="2"/>
      <c r="E46" s="2"/>
      <c r="F46" s="2"/>
      <c r="G46" s="2"/>
    </row>
    <row r="47" spans="1:7" ht="8.25" customHeight="1">
      <c r="A47" s="27">
        <v>4.4000000000000004</v>
      </c>
      <c r="B47" s="28" t="s">
        <v>139</v>
      </c>
      <c r="C47" s="2"/>
      <c r="D47" s="2"/>
      <c r="E47" s="2"/>
      <c r="F47" s="2"/>
      <c r="G47" s="2"/>
    </row>
    <row r="48" spans="1:7" ht="8.25" customHeight="1">
      <c r="A48" s="27">
        <v>4.5</v>
      </c>
      <c r="B48" s="28" t="s">
        <v>141</v>
      </c>
      <c r="C48" s="2"/>
      <c r="D48" s="2"/>
      <c r="E48" s="2"/>
      <c r="F48" s="2"/>
      <c r="G48" s="2"/>
    </row>
    <row r="49" spans="1:7" ht="8.25" customHeight="1">
      <c r="A49" s="27">
        <v>4.5999999999999996</v>
      </c>
      <c r="B49" s="28" t="s">
        <v>143</v>
      </c>
      <c r="C49" s="2"/>
      <c r="D49" s="2"/>
      <c r="E49" s="2"/>
      <c r="F49" s="2"/>
      <c r="G49" s="2"/>
    </row>
    <row r="50" spans="1:7" ht="8.25" customHeight="1">
      <c r="A50" s="27">
        <v>4.7</v>
      </c>
      <c r="B50" s="28" t="s">
        <v>133</v>
      </c>
      <c r="C50" s="2"/>
      <c r="D50" s="2"/>
      <c r="E50" s="2"/>
      <c r="F50" s="2"/>
      <c r="G50" s="2"/>
    </row>
    <row r="51" spans="1:7" ht="10.35" customHeight="1">
      <c r="A51" s="27">
        <v>4.8</v>
      </c>
      <c r="B51" s="28" t="s">
        <v>177</v>
      </c>
      <c r="C51" s="2"/>
      <c r="D51" s="2"/>
      <c r="E51" s="2"/>
      <c r="F51" s="2"/>
      <c r="G51" s="2"/>
    </row>
    <row r="52" spans="1:7" ht="8.25" customHeight="1">
      <c r="A52" s="27">
        <v>4.9000000000000004</v>
      </c>
      <c r="B52" s="28" t="s">
        <v>178</v>
      </c>
      <c r="C52" s="2"/>
      <c r="D52" s="2"/>
      <c r="E52" s="2"/>
      <c r="F52" s="2"/>
      <c r="G52" s="2"/>
    </row>
    <row r="53" spans="1:7" ht="8.25" customHeight="1">
      <c r="A53" s="31">
        <v>4.0999999999999996</v>
      </c>
      <c r="B53" s="28" t="s">
        <v>179</v>
      </c>
      <c r="C53" s="2"/>
      <c r="D53" s="2"/>
      <c r="E53" s="2"/>
      <c r="F53" s="2"/>
      <c r="G53" s="2"/>
    </row>
    <row r="54" spans="1:7" ht="8.25" customHeight="1">
      <c r="A54" s="31">
        <v>4.1100000000000003</v>
      </c>
      <c r="B54" s="28" t="s">
        <v>149</v>
      </c>
      <c r="C54" s="2"/>
      <c r="D54" s="2"/>
      <c r="E54" s="2"/>
      <c r="F54" s="2"/>
      <c r="G54" s="2"/>
    </row>
    <row r="55" spans="1:7" ht="8.25" customHeight="1">
      <c r="A55" s="2"/>
      <c r="B55" s="22" t="s">
        <v>180</v>
      </c>
      <c r="C55" s="2"/>
      <c r="D55" s="2"/>
      <c r="E55" s="2"/>
      <c r="F55" s="2"/>
      <c r="G55" s="2"/>
    </row>
    <row r="56" spans="1:7" ht="7.7" customHeight="1">
      <c r="A56" s="2"/>
      <c r="B56" s="2"/>
      <c r="C56" s="2"/>
      <c r="D56" s="2"/>
      <c r="E56" s="2"/>
      <c r="F56" s="2"/>
      <c r="G56" s="2"/>
    </row>
    <row r="57" spans="1:7" ht="15.2" customHeight="1">
      <c r="A57" s="26">
        <v>5</v>
      </c>
      <c r="B57" s="22" t="s">
        <v>181</v>
      </c>
      <c r="C57" s="4"/>
      <c r="D57" s="4"/>
      <c r="E57" s="4"/>
      <c r="F57" s="4"/>
      <c r="G57" s="4"/>
    </row>
    <row r="58" spans="1:7" ht="7.5" customHeight="1">
      <c r="A58" s="2"/>
      <c r="B58" s="2"/>
      <c r="C58" s="2"/>
      <c r="D58" s="2"/>
      <c r="E58" s="2"/>
      <c r="F58" s="2"/>
      <c r="G58" s="2"/>
    </row>
    <row r="59" spans="1:7" ht="8.25" customHeight="1">
      <c r="A59" s="27">
        <v>5.0999999999999996</v>
      </c>
      <c r="B59" s="28" t="s">
        <v>182</v>
      </c>
      <c r="C59" s="2"/>
      <c r="D59" s="2"/>
      <c r="E59" s="2"/>
      <c r="F59" s="2"/>
      <c r="G59" s="2"/>
    </row>
    <row r="60" spans="1:7" ht="8.25" customHeight="1">
      <c r="A60" s="27">
        <v>5.2</v>
      </c>
      <c r="B60" s="28" t="s">
        <v>183</v>
      </c>
      <c r="C60" s="2"/>
      <c r="D60" s="2"/>
      <c r="E60" s="2"/>
      <c r="F60" s="2"/>
      <c r="G60" s="2"/>
    </row>
    <row r="61" spans="1:7" ht="8.25" customHeight="1">
      <c r="A61" s="27">
        <v>5.3</v>
      </c>
      <c r="B61" s="28" t="s">
        <v>184</v>
      </c>
      <c r="C61" s="2"/>
      <c r="D61" s="2"/>
      <c r="E61" s="2"/>
      <c r="F61" s="2"/>
      <c r="G61" s="2"/>
    </row>
    <row r="62" spans="1:7" ht="8.25" customHeight="1">
      <c r="A62" s="27">
        <v>5.4</v>
      </c>
      <c r="B62" s="28" t="s">
        <v>185</v>
      </c>
      <c r="C62" s="2"/>
      <c r="D62" s="2"/>
      <c r="E62" s="2"/>
      <c r="F62" s="2"/>
      <c r="G62" s="2"/>
    </row>
    <row r="63" spans="1:7" ht="8.25" customHeight="1">
      <c r="A63" s="27">
        <v>5.5</v>
      </c>
      <c r="B63" s="28" t="s">
        <v>186</v>
      </c>
      <c r="C63" s="2"/>
      <c r="D63" s="2"/>
      <c r="E63" s="2"/>
      <c r="F63" s="2"/>
      <c r="G63" s="2"/>
    </row>
    <row r="64" spans="1:7" ht="8.25" customHeight="1">
      <c r="A64" s="27">
        <v>5.6</v>
      </c>
      <c r="B64" s="28" t="s">
        <v>187</v>
      </c>
      <c r="C64" s="2"/>
      <c r="D64" s="2"/>
      <c r="E64" s="2"/>
      <c r="F64" s="2"/>
      <c r="G64" s="2"/>
    </row>
    <row r="65" spans="1:7" ht="15.2" customHeight="1">
      <c r="A65" s="4"/>
      <c r="B65" s="22" t="s">
        <v>188</v>
      </c>
      <c r="C65" s="4"/>
      <c r="D65" s="4"/>
      <c r="E65" s="4"/>
      <c r="F65" s="4"/>
      <c r="G65" s="4"/>
    </row>
    <row r="66" spans="1:7" ht="8.25" customHeight="1">
      <c r="A66" s="26">
        <v>6</v>
      </c>
      <c r="B66" s="22" t="s">
        <v>189</v>
      </c>
      <c r="C66" s="2"/>
      <c r="D66" s="2"/>
      <c r="E66" s="2"/>
      <c r="F66" s="2"/>
      <c r="G66" s="2"/>
    </row>
    <row r="67" spans="1:7" ht="8.25" customHeight="1">
      <c r="A67" s="27">
        <v>6.1</v>
      </c>
      <c r="B67" s="28" t="s">
        <v>190</v>
      </c>
      <c r="C67" s="2"/>
      <c r="D67" s="2"/>
      <c r="E67" s="2"/>
      <c r="F67" s="2"/>
      <c r="G67" s="2"/>
    </row>
    <row r="68" spans="1:7" ht="8.25" customHeight="1">
      <c r="A68" s="27">
        <v>6.2</v>
      </c>
      <c r="B68" s="28" t="s">
        <v>191</v>
      </c>
      <c r="C68" s="2"/>
      <c r="D68" s="2"/>
      <c r="E68" s="2"/>
      <c r="F68" s="2"/>
      <c r="G68" s="2"/>
    </row>
    <row r="69" spans="1:7" ht="8.25" customHeight="1">
      <c r="A69" s="27">
        <v>6.3</v>
      </c>
      <c r="B69" s="28" t="s">
        <v>192</v>
      </c>
      <c r="C69" s="2"/>
      <c r="D69" s="2"/>
      <c r="E69" s="2"/>
      <c r="F69" s="2"/>
      <c r="G69" s="2"/>
    </row>
    <row r="70" spans="1:7" ht="8.25" customHeight="1">
      <c r="A70" s="27">
        <v>6.4</v>
      </c>
      <c r="B70" s="28" t="s">
        <v>193</v>
      </c>
      <c r="C70" s="2"/>
      <c r="D70" s="2"/>
      <c r="E70" s="2"/>
      <c r="F70" s="2"/>
      <c r="G70" s="2"/>
    </row>
    <row r="71" spans="1:7" ht="8.25" customHeight="1">
      <c r="A71" s="2"/>
      <c r="B71" s="22" t="s">
        <v>194</v>
      </c>
      <c r="C71" s="2"/>
      <c r="D71" s="2"/>
      <c r="E71" s="2"/>
      <c r="F71" s="2"/>
      <c r="G71" s="2"/>
    </row>
    <row r="72" spans="1:7" ht="7.7" customHeight="1">
      <c r="A72" s="2"/>
      <c r="B72" s="2"/>
      <c r="C72" s="2"/>
      <c r="D72" s="2"/>
      <c r="E72" s="2"/>
      <c r="F72" s="2"/>
      <c r="G72" s="2"/>
    </row>
    <row r="73" spans="1:7" ht="8.25" customHeight="1">
      <c r="A73" s="26">
        <v>7</v>
      </c>
      <c r="B73" s="22" t="s">
        <v>195</v>
      </c>
      <c r="C73" s="2"/>
      <c r="D73" s="2"/>
      <c r="E73" s="2"/>
      <c r="F73" s="2"/>
      <c r="G73" s="2"/>
    </row>
    <row r="74" spans="1:7" ht="8.25" customHeight="1">
      <c r="A74" s="27">
        <v>7.1</v>
      </c>
      <c r="B74" s="28" t="s">
        <v>196</v>
      </c>
      <c r="C74" s="2"/>
      <c r="D74" s="2"/>
      <c r="E74" s="2"/>
      <c r="F74" s="2"/>
      <c r="G74" s="2"/>
    </row>
    <row r="75" spans="1:7" ht="8.25" customHeight="1">
      <c r="A75" s="27">
        <v>7.2</v>
      </c>
      <c r="B75" s="28" t="s">
        <v>197</v>
      </c>
      <c r="C75" s="2"/>
      <c r="D75" s="2"/>
      <c r="E75" s="2"/>
      <c r="F75" s="2"/>
      <c r="G75" s="2"/>
    </row>
    <row r="76" spans="1:7" ht="8.25" customHeight="1">
      <c r="A76" s="26">
        <v>8</v>
      </c>
      <c r="B76" s="22" t="s">
        <v>198</v>
      </c>
      <c r="C76" s="2"/>
      <c r="D76" s="2"/>
      <c r="E76" s="2"/>
      <c r="F76" s="2"/>
      <c r="G76" s="2"/>
    </row>
    <row r="77" spans="1:7" ht="16.5" customHeight="1">
      <c r="A77" s="1663" t="s">
        <v>199</v>
      </c>
      <c r="B77" s="1664"/>
      <c r="C77" s="1664"/>
      <c r="D77" s="1664"/>
      <c r="E77" s="1664"/>
      <c r="F77" s="1664"/>
      <c r="G77" s="1665"/>
    </row>
  </sheetData>
  <mergeCells count="9">
    <mergeCell ref="B25:B26"/>
    <mergeCell ref="A77:G77"/>
    <mergeCell ref="A1:G1"/>
    <mergeCell ref="A2:A3"/>
    <mergeCell ref="B2:B3"/>
    <mergeCell ref="C2:D2"/>
    <mergeCell ref="E2:E3"/>
    <mergeCell ref="F2:F3"/>
    <mergeCell ref="G2:G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sheetPr>
    <tabColor theme="9" tint="-0.249977111117893"/>
  </sheetPr>
  <dimension ref="A1:K55"/>
  <sheetViews>
    <sheetView zoomScale="160" zoomScaleNormal="160" workbookViewId="0">
      <selection sqref="A1:K1"/>
    </sheetView>
  </sheetViews>
  <sheetFormatPr defaultRowHeight="12.75"/>
  <cols>
    <col min="1" max="1" width="5.83203125" customWidth="1"/>
    <col min="2" max="2" width="10.83203125" customWidth="1"/>
    <col min="3" max="3" width="19.83203125" customWidth="1"/>
    <col min="4" max="4" width="14.6640625" customWidth="1"/>
    <col min="5" max="5" width="8.5" customWidth="1"/>
    <col min="6" max="6" width="6" customWidth="1"/>
    <col min="7" max="7" width="6.5" customWidth="1"/>
    <col min="8" max="8" width="9.83203125" customWidth="1"/>
    <col min="9" max="9" width="8.6640625" customWidth="1"/>
    <col min="10" max="10" width="8.5" customWidth="1"/>
    <col min="11" max="11" width="13.33203125" customWidth="1"/>
  </cols>
  <sheetData>
    <row r="1" spans="1:11" ht="54" customHeight="1">
      <c r="A1" s="1648" t="s">
        <v>201</v>
      </c>
      <c r="B1" s="1649"/>
      <c r="C1" s="1649"/>
      <c r="D1" s="1649"/>
      <c r="E1" s="1649"/>
      <c r="F1" s="1649"/>
      <c r="G1" s="1649"/>
      <c r="H1" s="1649"/>
      <c r="I1" s="1649"/>
      <c r="J1" s="1649"/>
      <c r="K1" s="1650"/>
    </row>
    <row r="2" spans="1:11" ht="59.1" customHeight="1">
      <c r="A2" s="23" t="s">
        <v>114</v>
      </c>
      <c r="B2" s="22" t="s">
        <v>202</v>
      </c>
      <c r="C2" s="6" t="s">
        <v>203</v>
      </c>
      <c r="D2" s="22" t="s">
        <v>204</v>
      </c>
      <c r="E2" s="22" t="s">
        <v>205</v>
      </c>
      <c r="F2" s="22" t="s">
        <v>206</v>
      </c>
      <c r="G2" s="6" t="s">
        <v>207</v>
      </c>
      <c r="H2" s="22" t="s">
        <v>208</v>
      </c>
      <c r="I2" s="6" t="s">
        <v>209</v>
      </c>
      <c r="J2" s="22" t="s">
        <v>210</v>
      </c>
      <c r="K2" s="6" t="s">
        <v>211</v>
      </c>
    </row>
    <row r="3" spans="1:11" ht="8.25" customHeight="1">
      <c r="A3" s="25">
        <v>-1</v>
      </c>
      <c r="B3" s="25">
        <v>-2</v>
      </c>
      <c r="C3" s="25">
        <v>-3</v>
      </c>
      <c r="D3" s="25">
        <v>-4</v>
      </c>
      <c r="E3" s="25">
        <v>-5</v>
      </c>
      <c r="F3" s="32">
        <v>-6</v>
      </c>
      <c r="G3" s="32">
        <v>-7</v>
      </c>
      <c r="H3" s="25">
        <v>-8</v>
      </c>
      <c r="I3" s="25">
        <v>-9</v>
      </c>
      <c r="J3" s="32">
        <v>-10</v>
      </c>
      <c r="K3" s="25">
        <v>-11</v>
      </c>
    </row>
    <row r="4" spans="1:11" ht="18" customHeight="1">
      <c r="A4" s="4"/>
      <c r="B4" s="4"/>
      <c r="C4" s="4"/>
      <c r="D4" s="4"/>
      <c r="E4" s="4"/>
      <c r="F4" s="4"/>
      <c r="G4" s="4"/>
      <c r="H4" s="4"/>
      <c r="I4" s="4"/>
      <c r="J4" s="4"/>
      <c r="K4" s="4"/>
    </row>
    <row r="5" spans="1:11" ht="7.7" customHeight="1">
      <c r="A5" s="2"/>
      <c r="B5" s="2"/>
      <c r="C5" s="2"/>
      <c r="D5" s="2"/>
      <c r="E5" s="2"/>
      <c r="F5" s="2"/>
      <c r="G5" s="2"/>
      <c r="H5" s="2"/>
      <c r="I5" s="2"/>
      <c r="J5" s="2"/>
      <c r="K5" s="2"/>
    </row>
    <row r="6" spans="1:11" ht="7.7" customHeight="1">
      <c r="A6" s="2"/>
      <c r="B6" s="2"/>
      <c r="C6" s="2"/>
      <c r="D6" s="2"/>
      <c r="E6" s="2"/>
      <c r="F6" s="2"/>
      <c r="G6" s="2"/>
      <c r="H6" s="2"/>
      <c r="I6" s="2"/>
      <c r="J6" s="2"/>
      <c r="K6" s="2"/>
    </row>
    <row r="7" spans="1:11" ht="7.7" customHeight="1">
      <c r="A7" s="2"/>
      <c r="B7" s="2"/>
      <c r="C7" s="2"/>
      <c r="D7" s="2"/>
      <c r="E7" s="2"/>
      <c r="F7" s="2"/>
      <c r="G7" s="2"/>
      <c r="H7" s="2"/>
      <c r="I7" s="2"/>
      <c r="J7" s="2"/>
      <c r="K7" s="2"/>
    </row>
    <row r="8" spans="1:11" ht="7.7" customHeight="1">
      <c r="A8" s="2"/>
      <c r="B8" s="2"/>
      <c r="C8" s="2"/>
      <c r="D8" s="2"/>
      <c r="E8" s="2"/>
      <c r="F8" s="2"/>
      <c r="G8" s="2"/>
      <c r="H8" s="2"/>
      <c r="I8" s="2"/>
      <c r="J8" s="2"/>
      <c r="K8" s="2"/>
    </row>
    <row r="9" spans="1:11" ht="7.7" customHeight="1">
      <c r="A9" s="2"/>
      <c r="B9" s="2"/>
      <c r="C9" s="2"/>
      <c r="D9" s="2"/>
      <c r="E9" s="2"/>
      <c r="F9" s="2"/>
      <c r="G9" s="2"/>
      <c r="H9" s="2"/>
      <c r="I9" s="2"/>
      <c r="J9" s="2"/>
      <c r="K9" s="2"/>
    </row>
    <row r="10" spans="1:11" ht="7.7" customHeight="1">
      <c r="A10" s="2"/>
      <c r="B10" s="2"/>
      <c r="C10" s="2"/>
      <c r="D10" s="2"/>
      <c r="E10" s="2"/>
      <c r="F10" s="2"/>
      <c r="G10" s="2"/>
      <c r="H10" s="2"/>
      <c r="I10" s="2"/>
      <c r="J10" s="2"/>
      <c r="K10" s="2"/>
    </row>
    <row r="11" spans="1:11" ht="7.7" customHeight="1">
      <c r="A11" s="2"/>
      <c r="B11" s="2"/>
      <c r="C11" s="2"/>
      <c r="D11" s="2"/>
      <c r="E11" s="2"/>
      <c r="F11" s="2"/>
      <c r="G11" s="2"/>
      <c r="H11" s="2"/>
      <c r="I11" s="2"/>
      <c r="J11" s="2"/>
      <c r="K11" s="2"/>
    </row>
    <row r="12" spans="1:11" ht="7.7" customHeight="1">
      <c r="A12" s="2"/>
      <c r="B12" s="2"/>
      <c r="C12" s="2"/>
      <c r="D12" s="2"/>
      <c r="E12" s="2"/>
      <c r="F12" s="2"/>
      <c r="G12" s="2"/>
      <c r="H12" s="2"/>
      <c r="I12" s="2"/>
      <c r="J12" s="2"/>
      <c r="K12" s="2"/>
    </row>
    <row r="13" spans="1:11" ht="7.7" customHeight="1">
      <c r="A13" s="2"/>
      <c r="B13" s="2"/>
      <c r="C13" s="2"/>
      <c r="D13" s="2"/>
      <c r="E13" s="2"/>
      <c r="F13" s="2"/>
      <c r="G13" s="2"/>
      <c r="H13" s="2"/>
      <c r="I13" s="2"/>
      <c r="J13" s="2"/>
      <c r="K13" s="2"/>
    </row>
    <row r="14" spans="1:11" ht="7.7" customHeight="1">
      <c r="A14" s="2"/>
      <c r="B14" s="2"/>
      <c r="C14" s="2"/>
      <c r="D14" s="2"/>
      <c r="E14" s="2"/>
      <c r="F14" s="2"/>
      <c r="G14" s="2"/>
      <c r="H14" s="2"/>
      <c r="I14" s="2"/>
      <c r="J14" s="2"/>
      <c r="K14" s="2"/>
    </row>
    <row r="15" spans="1:11" ht="7.7" customHeight="1">
      <c r="A15" s="2"/>
      <c r="B15" s="2"/>
      <c r="C15" s="2"/>
      <c r="D15" s="2"/>
      <c r="E15" s="2"/>
      <c r="F15" s="2"/>
      <c r="G15" s="2"/>
      <c r="H15" s="2"/>
      <c r="I15" s="2"/>
      <c r="J15" s="2"/>
      <c r="K15" s="2"/>
    </row>
    <row r="16" spans="1:11" ht="7.7" customHeight="1">
      <c r="A16" s="2"/>
      <c r="B16" s="2"/>
      <c r="C16" s="2"/>
      <c r="D16" s="2"/>
      <c r="E16" s="2"/>
      <c r="F16" s="2"/>
      <c r="G16" s="2"/>
      <c r="H16" s="2"/>
      <c r="I16" s="2"/>
      <c r="J16" s="2"/>
      <c r="K16" s="2"/>
    </row>
    <row r="17" spans="1:11" ht="7.7" customHeight="1">
      <c r="A17" s="2"/>
      <c r="B17" s="2"/>
      <c r="C17" s="2"/>
      <c r="D17" s="2"/>
      <c r="E17" s="2"/>
      <c r="F17" s="2"/>
      <c r="G17" s="2"/>
      <c r="H17" s="2"/>
      <c r="I17" s="2"/>
      <c r="J17" s="2"/>
      <c r="K17" s="2"/>
    </row>
    <row r="18" spans="1:11" ht="7.7" customHeight="1">
      <c r="A18" s="2"/>
      <c r="B18" s="2"/>
      <c r="C18" s="2"/>
      <c r="D18" s="2"/>
      <c r="E18" s="2"/>
      <c r="F18" s="2"/>
      <c r="G18" s="2"/>
      <c r="H18" s="2"/>
      <c r="I18" s="2"/>
      <c r="J18" s="2"/>
      <c r="K18" s="2"/>
    </row>
    <row r="19" spans="1:11" ht="7.7" customHeight="1">
      <c r="A19" s="2"/>
      <c r="B19" s="2"/>
      <c r="C19" s="2"/>
      <c r="D19" s="2"/>
      <c r="E19" s="2"/>
      <c r="F19" s="2"/>
      <c r="G19" s="2"/>
      <c r="H19" s="2"/>
      <c r="I19" s="2"/>
      <c r="J19" s="2"/>
      <c r="K19" s="2"/>
    </row>
    <row r="20" spans="1:11" ht="7.7" customHeight="1">
      <c r="A20" s="2"/>
      <c r="B20" s="2"/>
      <c r="C20" s="2"/>
      <c r="D20" s="2"/>
      <c r="E20" s="2"/>
      <c r="F20" s="2"/>
      <c r="G20" s="2"/>
      <c r="H20" s="2"/>
      <c r="I20" s="2"/>
      <c r="J20" s="2"/>
      <c r="K20" s="2"/>
    </row>
    <row r="21" spans="1:11" ht="7.7" customHeight="1">
      <c r="A21" s="2"/>
      <c r="B21" s="2"/>
      <c r="C21" s="2"/>
      <c r="D21" s="2"/>
      <c r="E21" s="2"/>
      <c r="F21" s="2"/>
      <c r="G21" s="2"/>
      <c r="H21" s="2"/>
      <c r="I21" s="2"/>
      <c r="J21" s="2"/>
      <c r="K21" s="2"/>
    </row>
    <row r="22" spans="1:11" ht="7.7" customHeight="1">
      <c r="A22" s="2"/>
      <c r="B22" s="2"/>
      <c r="C22" s="2"/>
      <c r="D22" s="2"/>
      <c r="E22" s="2"/>
      <c r="F22" s="2"/>
      <c r="G22" s="2"/>
      <c r="H22" s="2"/>
      <c r="I22" s="2"/>
      <c r="J22" s="2"/>
      <c r="K22" s="2"/>
    </row>
    <row r="23" spans="1:11" ht="7.7" customHeight="1">
      <c r="A23" s="2"/>
      <c r="B23" s="2"/>
      <c r="C23" s="2"/>
      <c r="D23" s="2"/>
      <c r="E23" s="2"/>
      <c r="F23" s="2"/>
      <c r="G23" s="2"/>
      <c r="H23" s="2"/>
      <c r="I23" s="2"/>
      <c r="J23" s="2"/>
      <c r="K23" s="2"/>
    </row>
    <row r="24" spans="1:11" ht="7.7" customHeight="1">
      <c r="A24" s="2"/>
      <c r="B24" s="2"/>
      <c r="C24" s="2"/>
      <c r="D24" s="2"/>
      <c r="E24" s="2"/>
      <c r="F24" s="2"/>
      <c r="G24" s="2"/>
      <c r="H24" s="2"/>
      <c r="I24" s="2"/>
      <c r="J24" s="2"/>
      <c r="K24" s="2"/>
    </row>
    <row r="25" spans="1:11" ht="7.7" customHeight="1">
      <c r="A25" s="2"/>
      <c r="B25" s="2"/>
      <c r="C25" s="2"/>
      <c r="D25" s="2"/>
      <c r="E25" s="2"/>
      <c r="F25" s="2"/>
      <c r="G25" s="2"/>
      <c r="H25" s="2"/>
      <c r="I25" s="2"/>
      <c r="J25" s="2"/>
      <c r="K25" s="2"/>
    </row>
    <row r="26" spans="1:11" ht="7.7" customHeight="1">
      <c r="A26" s="2"/>
      <c r="B26" s="2"/>
      <c r="C26" s="2"/>
      <c r="D26" s="2"/>
      <c r="E26" s="2"/>
      <c r="F26" s="2"/>
      <c r="G26" s="2"/>
      <c r="H26" s="2"/>
      <c r="I26" s="2"/>
      <c r="J26" s="2"/>
      <c r="K26" s="2"/>
    </row>
    <row r="27" spans="1:11" ht="7.7" customHeight="1">
      <c r="A27" s="2"/>
      <c r="B27" s="2"/>
      <c r="C27" s="2"/>
      <c r="D27" s="2"/>
      <c r="E27" s="2"/>
      <c r="F27" s="2"/>
      <c r="G27" s="2"/>
      <c r="H27" s="2"/>
      <c r="I27" s="2"/>
      <c r="J27" s="2"/>
      <c r="K27" s="2"/>
    </row>
    <row r="28" spans="1:11" ht="7.7" customHeight="1">
      <c r="A28" s="2"/>
      <c r="B28" s="2"/>
      <c r="C28" s="2"/>
      <c r="D28" s="2"/>
      <c r="E28" s="2"/>
      <c r="F28" s="2"/>
      <c r="G28" s="2"/>
      <c r="H28" s="2"/>
      <c r="I28" s="2"/>
      <c r="J28" s="2"/>
      <c r="K28" s="2"/>
    </row>
    <row r="29" spans="1:11" ht="7.7" customHeight="1">
      <c r="A29" s="2"/>
      <c r="B29" s="2"/>
      <c r="C29" s="2"/>
      <c r="D29" s="2"/>
      <c r="E29" s="2"/>
      <c r="F29" s="2"/>
      <c r="G29" s="2"/>
      <c r="H29" s="2"/>
      <c r="I29" s="2"/>
      <c r="J29" s="2"/>
      <c r="K29" s="2"/>
    </row>
    <row r="30" spans="1:11" ht="7.7" customHeight="1">
      <c r="A30" s="2"/>
      <c r="B30" s="2"/>
      <c r="C30" s="2"/>
      <c r="D30" s="2"/>
      <c r="E30" s="2"/>
      <c r="F30" s="2"/>
      <c r="G30" s="2"/>
      <c r="H30" s="2"/>
      <c r="I30" s="2"/>
      <c r="J30" s="2"/>
      <c r="K30" s="2"/>
    </row>
    <row r="31" spans="1:11" ht="7.7" customHeight="1">
      <c r="A31" s="2"/>
      <c r="B31" s="2"/>
      <c r="C31" s="2"/>
      <c r="D31" s="2"/>
      <c r="E31" s="2"/>
      <c r="F31" s="2"/>
      <c r="G31" s="2"/>
      <c r="H31" s="2"/>
      <c r="I31" s="2"/>
      <c r="J31" s="2"/>
      <c r="K31" s="2"/>
    </row>
    <row r="32" spans="1:11" ht="7.7" customHeight="1">
      <c r="A32" s="2"/>
      <c r="B32" s="2"/>
      <c r="C32" s="2"/>
      <c r="D32" s="2"/>
      <c r="E32" s="2"/>
      <c r="F32" s="2"/>
      <c r="G32" s="2"/>
      <c r="H32" s="2"/>
      <c r="I32" s="2"/>
      <c r="J32" s="2"/>
      <c r="K32" s="2"/>
    </row>
    <row r="33" spans="1:11" ht="7.7" customHeight="1">
      <c r="A33" s="2"/>
      <c r="B33" s="2"/>
      <c r="C33" s="2"/>
      <c r="D33" s="2"/>
      <c r="E33" s="2"/>
      <c r="F33" s="2"/>
      <c r="G33" s="2"/>
      <c r="H33" s="2"/>
      <c r="I33" s="2"/>
      <c r="J33" s="2"/>
      <c r="K33" s="2"/>
    </row>
    <row r="34" spans="1:11" ht="7.7" customHeight="1">
      <c r="A34" s="2"/>
      <c r="B34" s="2"/>
      <c r="C34" s="2"/>
      <c r="D34" s="2"/>
      <c r="E34" s="2"/>
      <c r="F34" s="2"/>
      <c r="G34" s="2"/>
      <c r="H34" s="2"/>
      <c r="I34" s="2"/>
      <c r="J34" s="2"/>
      <c r="K34" s="2"/>
    </row>
    <row r="35" spans="1:11" ht="7.7" customHeight="1">
      <c r="A35" s="2"/>
      <c r="B35" s="2"/>
      <c r="C35" s="2"/>
      <c r="D35" s="2"/>
      <c r="E35" s="2"/>
      <c r="F35" s="2"/>
      <c r="G35" s="2"/>
      <c r="H35" s="2"/>
      <c r="I35" s="2"/>
      <c r="J35" s="2"/>
      <c r="K35" s="2"/>
    </row>
    <row r="36" spans="1:11" ht="7.7" customHeight="1">
      <c r="A36" s="2"/>
      <c r="B36" s="2"/>
      <c r="C36" s="2"/>
      <c r="D36" s="2"/>
      <c r="E36" s="2"/>
      <c r="F36" s="2"/>
      <c r="G36" s="2"/>
      <c r="H36" s="2"/>
      <c r="I36" s="2"/>
      <c r="J36" s="2"/>
      <c r="K36" s="2"/>
    </row>
    <row r="37" spans="1:11" ht="7.7" customHeight="1">
      <c r="A37" s="2"/>
      <c r="B37" s="2"/>
      <c r="C37" s="2"/>
      <c r="D37" s="2"/>
      <c r="E37" s="2"/>
      <c r="F37" s="2"/>
      <c r="G37" s="2"/>
      <c r="H37" s="2"/>
      <c r="I37" s="2"/>
      <c r="J37" s="2"/>
      <c r="K37" s="2"/>
    </row>
    <row r="38" spans="1:11" ht="7.7" customHeight="1">
      <c r="A38" s="2"/>
      <c r="B38" s="2"/>
      <c r="C38" s="2"/>
      <c r="D38" s="2"/>
      <c r="E38" s="2"/>
      <c r="F38" s="2"/>
      <c r="G38" s="2"/>
      <c r="H38" s="2"/>
      <c r="I38" s="2"/>
      <c r="J38" s="2"/>
      <c r="K38" s="2"/>
    </row>
    <row r="39" spans="1:11" ht="7.7" customHeight="1">
      <c r="A39" s="2"/>
      <c r="B39" s="2"/>
      <c r="C39" s="2"/>
      <c r="D39" s="2"/>
      <c r="E39" s="2"/>
      <c r="F39" s="2"/>
      <c r="G39" s="2"/>
      <c r="H39" s="2"/>
      <c r="I39" s="2"/>
      <c r="J39" s="2"/>
      <c r="K39" s="2"/>
    </row>
    <row r="40" spans="1:11" ht="7.7" customHeight="1">
      <c r="A40" s="2"/>
      <c r="B40" s="2"/>
      <c r="C40" s="2"/>
      <c r="D40" s="2"/>
      <c r="E40" s="2"/>
      <c r="F40" s="2"/>
      <c r="G40" s="2"/>
      <c r="H40" s="2"/>
      <c r="I40" s="2"/>
      <c r="J40" s="2"/>
      <c r="K40" s="2"/>
    </row>
    <row r="41" spans="1:11" ht="18" customHeight="1">
      <c r="A41" s="4"/>
      <c r="B41" s="4"/>
      <c r="C41" s="4"/>
      <c r="D41" s="4"/>
      <c r="E41" s="4"/>
      <c r="F41" s="4"/>
      <c r="G41" s="4"/>
      <c r="H41" s="4"/>
      <c r="I41" s="4"/>
      <c r="J41" s="4"/>
      <c r="K41" s="4"/>
    </row>
    <row r="42" spans="1:11" ht="7.7" customHeight="1">
      <c r="A42" s="2"/>
      <c r="B42" s="2"/>
      <c r="C42" s="2"/>
      <c r="D42" s="2"/>
      <c r="E42" s="2"/>
      <c r="F42" s="2"/>
      <c r="G42" s="2"/>
      <c r="H42" s="2"/>
      <c r="I42" s="2"/>
      <c r="J42" s="2"/>
      <c r="K42" s="2"/>
    </row>
    <row r="43" spans="1:11" ht="7.7" customHeight="1">
      <c r="A43" s="2"/>
      <c r="B43" s="2"/>
      <c r="C43" s="2"/>
      <c r="D43" s="2"/>
      <c r="E43" s="2"/>
      <c r="F43" s="2"/>
      <c r="G43" s="2"/>
      <c r="H43" s="2"/>
      <c r="I43" s="2"/>
      <c r="J43" s="2"/>
      <c r="K43" s="2"/>
    </row>
    <row r="44" spans="1:11" ht="7.7" customHeight="1">
      <c r="A44" s="2"/>
      <c r="B44" s="2"/>
      <c r="C44" s="2"/>
      <c r="D44" s="2"/>
      <c r="E44" s="2"/>
      <c r="F44" s="2"/>
      <c r="G44" s="2"/>
      <c r="H44" s="2"/>
      <c r="I44" s="2"/>
      <c r="J44" s="2"/>
      <c r="K44" s="2"/>
    </row>
    <row r="45" spans="1:11" ht="7.7" customHeight="1">
      <c r="A45" s="2"/>
      <c r="B45" s="2"/>
      <c r="C45" s="2"/>
      <c r="D45" s="2"/>
      <c r="E45" s="2"/>
      <c r="F45" s="2"/>
      <c r="G45" s="2"/>
      <c r="H45" s="2"/>
      <c r="I45" s="2"/>
      <c r="J45" s="2"/>
      <c r="K45" s="2"/>
    </row>
    <row r="46" spans="1:11" ht="7.7" customHeight="1">
      <c r="A46" s="2"/>
      <c r="B46" s="2"/>
      <c r="C46" s="2"/>
      <c r="D46" s="2"/>
      <c r="E46" s="2"/>
      <c r="F46" s="2"/>
      <c r="G46" s="2"/>
      <c r="H46" s="2"/>
      <c r="I46" s="2"/>
      <c r="J46" s="2"/>
      <c r="K46" s="2"/>
    </row>
    <row r="47" spans="1:11" ht="7.7" customHeight="1">
      <c r="A47" s="2"/>
      <c r="B47" s="2"/>
      <c r="C47" s="2"/>
      <c r="D47" s="2"/>
      <c r="E47" s="2"/>
      <c r="F47" s="2"/>
      <c r="G47" s="2"/>
      <c r="H47" s="2"/>
      <c r="I47" s="2"/>
      <c r="J47" s="2"/>
      <c r="K47" s="2"/>
    </row>
    <row r="48" spans="1:11" ht="7.7" customHeight="1">
      <c r="A48" s="2"/>
      <c r="B48" s="2"/>
      <c r="C48" s="2"/>
      <c r="D48" s="2"/>
      <c r="E48" s="2"/>
      <c r="F48" s="2"/>
      <c r="G48" s="2"/>
      <c r="H48" s="2"/>
      <c r="I48" s="2"/>
      <c r="J48" s="2"/>
      <c r="K48" s="2"/>
    </row>
    <row r="49" spans="1:11" ht="7.7" customHeight="1">
      <c r="A49" s="2"/>
      <c r="B49" s="2"/>
      <c r="C49" s="2"/>
      <c r="D49" s="2"/>
      <c r="E49" s="2"/>
      <c r="F49" s="2"/>
      <c r="G49" s="2"/>
      <c r="H49" s="2"/>
      <c r="I49" s="2"/>
      <c r="J49" s="2"/>
      <c r="K49" s="2"/>
    </row>
    <row r="50" spans="1:11" ht="7.7" customHeight="1">
      <c r="A50" s="2"/>
      <c r="B50" s="2"/>
      <c r="C50" s="2"/>
      <c r="D50" s="2"/>
      <c r="E50" s="2"/>
      <c r="F50" s="2"/>
      <c r="G50" s="2"/>
      <c r="H50" s="2"/>
      <c r="I50" s="2"/>
      <c r="J50" s="2"/>
      <c r="K50" s="2"/>
    </row>
    <row r="51" spans="1:11" ht="7.7" customHeight="1">
      <c r="A51" s="2"/>
      <c r="B51" s="2"/>
      <c r="C51" s="2"/>
      <c r="D51" s="2"/>
      <c r="E51" s="2"/>
      <c r="F51" s="2"/>
      <c r="G51" s="2"/>
      <c r="H51" s="2"/>
      <c r="I51" s="2"/>
      <c r="J51" s="2"/>
      <c r="K51" s="2"/>
    </row>
    <row r="52" spans="1:11" ht="7.7" customHeight="1">
      <c r="A52" s="2"/>
      <c r="B52" s="2"/>
      <c r="C52" s="2"/>
      <c r="D52" s="2"/>
      <c r="E52" s="2"/>
      <c r="F52" s="2"/>
      <c r="G52" s="2"/>
      <c r="H52" s="2"/>
      <c r="I52" s="2"/>
      <c r="J52" s="2"/>
      <c r="K52" s="2"/>
    </row>
    <row r="53" spans="1:11" ht="19.5" customHeight="1">
      <c r="A53" s="1648" t="s">
        <v>212</v>
      </c>
      <c r="B53" s="1649"/>
      <c r="C53" s="1649"/>
      <c r="D53" s="1649"/>
      <c r="E53" s="1649"/>
      <c r="F53" s="1649"/>
      <c r="G53" s="1649"/>
      <c r="H53" s="1649"/>
      <c r="I53" s="1649"/>
      <c r="J53" s="1649"/>
      <c r="K53" s="1650"/>
    </row>
    <row r="54" spans="1:11" ht="22.5" customHeight="1">
      <c r="A54" s="1648" t="s">
        <v>213</v>
      </c>
      <c r="B54" s="1649"/>
      <c r="C54" s="1649"/>
      <c r="D54" s="1649"/>
      <c r="E54" s="1649"/>
      <c r="F54" s="1649"/>
      <c r="G54" s="1649"/>
      <c r="H54" s="1649"/>
      <c r="I54" s="1649"/>
      <c r="J54" s="1649"/>
      <c r="K54" s="1650"/>
    </row>
    <row r="55" spans="1:11" ht="23.25" customHeight="1">
      <c r="A55" s="1672"/>
      <c r="B55" s="1673"/>
      <c r="C55" s="1673"/>
      <c r="D55" s="1673"/>
      <c r="E55" s="1673"/>
      <c r="F55" s="1673"/>
      <c r="G55" s="1673"/>
      <c r="H55" s="1673"/>
      <c r="I55" s="1674" t="s">
        <v>200</v>
      </c>
      <c r="J55" s="1674"/>
      <c r="K55" s="1675"/>
    </row>
  </sheetData>
  <mergeCells count="5">
    <mergeCell ref="A1:K1"/>
    <mergeCell ref="A53:K53"/>
    <mergeCell ref="A54:K54"/>
    <mergeCell ref="A55:H55"/>
    <mergeCell ref="I55:K55"/>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A1:O51"/>
  <sheetViews>
    <sheetView workbookViewId="0"/>
  </sheetViews>
  <sheetFormatPr defaultRowHeight="12.75"/>
  <cols>
    <col min="1" max="1" width="7.1640625" customWidth="1"/>
    <col min="2" max="2" width="1.5" customWidth="1"/>
    <col min="3" max="3" width="1.33203125" customWidth="1"/>
    <col min="4" max="4" width="4.6640625" customWidth="1"/>
    <col min="5" max="5" width="8.1640625" customWidth="1"/>
    <col min="6" max="6" width="8.5" customWidth="1"/>
    <col min="7" max="8" width="11.83203125" customWidth="1"/>
    <col min="9" max="9" width="5.83203125" customWidth="1"/>
    <col min="10" max="10" width="6" customWidth="1"/>
    <col min="11" max="11" width="11.83203125" customWidth="1"/>
    <col min="12" max="12" width="10.1640625" customWidth="1"/>
    <col min="13" max="13" width="1.5" customWidth="1"/>
    <col min="14" max="14" width="13.1640625" customWidth="1"/>
    <col min="15" max="15" width="1.5" customWidth="1"/>
  </cols>
  <sheetData>
    <row r="1" spans="1:15" ht="12.75" customHeight="1">
      <c r="A1" s="7" t="s">
        <v>214</v>
      </c>
    </row>
    <row r="2" spans="1:15" ht="12.75" customHeight="1">
      <c r="A2" s="7" t="s">
        <v>0</v>
      </c>
    </row>
    <row r="3" spans="1:15" ht="12.75" customHeight="1">
      <c r="A3" s="7" t="s">
        <v>1</v>
      </c>
    </row>
    <row r="4" spans="1:15" ht="12.75" customHeight="1">
      <c r="A4" s="7" t="s">
        <v>215</v>
      </c>
    </row>
    <row r="5" spans="1:15" ht="0.95" customHeight="1"/>
    <row r="6" spans="1:15" ht="12.75" customHeight="1">
      <c r="A6" s="7" t="s">
        <v>216</v>
      </c>
    </row>
    <row r="7" spans="1:15" ht="12.75" customHeight="1">
      <c r="A7" s="33" t="s">
        <v>217</v>
      </c>
    </row>
    <row r="8" spans="1:15" ht="12.75" customHeight="1">
      <c r="A8" s="1681" t="s">
        <v>218</v>
      </c>
      <c r="B8" s="1682"/>
      <c r="C8" s="1682"/>
      <c r="D8" s="1682"/>
      <c r="E8" s="1682"/>
      <c r="F8" s="1683"/>
      <c r="G8" s="1" t="s">
        <v>219</v>
      </c>
      <c r="H8" s="1" t="s">
        <v>220</v>
      </c>
      <c r="I8" s="1684" t="s">
        <v>221</v>
      </c>
      <c r="J8" s="1685"/>
      <c r="K8" s="1" t="s">
        <v>222</v>
      </c>
      <c r="L8" s="1684" t="s">
        <v>223</v>
      </c>
      <c r="M8" s="1685"/>
      <c r="N8" s="1684" t="s">
        <v>224</v>
      </c>
      <c r="O8" s="1685"/>
    </row>
    <row r="9" spans="1:15" ht="12.75" customHeight="1">
      <c r="A9" s="1686">
        <v>1</v>
      </c>
      <c r="B9" s="1687"/>
      <c r="C9" s="1687"/>
      <c r="D9" s="1687"/>
      <c r="E9" s="1687"/>
      <c r="F9" s="1688"/>
      <c r="G9" s="5">
        <v>2</v>
      </c>
      <c r="H9" s="5">
        <v>3</v>
      </c>
      <c r="I9" s="1686">
        <v>4</v>
      </c>
      <c r="J9" s="1688"/>
      <c r="K9" s="5">
        <v>5</v>
      </c>
      <c r="L9" s="1686">
        <v>6</v>
      </c>
      <c r="M9" s="1688"/>
      <c r="N9" s="1686">
        <v>7</v>
      </c>
      <c r="O9" s="1688"/>
    </row>
    <row r="10" spans="1:15" ht="12.75" customHeight="1">
      <c r="A10" s="1648" t="s">
        <v>225</v>
      </c>
      <c r="B10" s="1649"/>
      <c r="C10" s="1649"/>
      <c r="D10" s="1649"/>
      <c r="E10" s="1649"/>
      <c r="F10" s="1650"/>
      <c r="G10" s="2"/>
      <c r="H10" s="2"/>
      <c r="I10" s="1642"/>
      <c r="J10" s="1643"/>
      <c r="K10" s="2"/>
      <c r="L10" s="1642"/>
      <c r="M10" s="1643"/>
      <c r="N10" s="1642"/>
      <c r="O10" s="1643"/>
    </row>
    <row r="11" spans="1:15" ht="12.75" customHeight="1">
      <c r="A11" s="1648" t="s">
        <v>226</v>
      </c>
      <c r="B11" s="1649"/>
      <c r="C11" s="1649"/>
      <c r="D11" s="1649"/>
      <c r="E11" s="1649"/>
      <c r="F11" s="1650"/>
      <c r="G11" s="2"/>
      <c r="H11" s="2"/>
      <c r="I11" s="1642"/>
      <c r="J11" s="1643"/>
      <c r="K11" s="2"/>
      <c r="L11" s="1642"/>
      <c r="M11" s="1643"/>
      <c r="N11" s="1642"/>
      <c r="O11" s="1643"/>
    </row>
    <row r="12" spans="1:15" ht="12.75" customHeight="1">
      <c r="A12" s="1676" t="s">
        <v>227</v>
      </c>
      <c r="B12" s="1677"/>
      <c r="C12" s="1677"/>
      <c r="D12" s="1677"/>
      <c r="E12" s="1677"/>
      <c r="F12" s="1678"/>
      <c r="G12" s="2"/>
      <c r="H12" s="2"/>
      <c r="I12" s="1642"/>
      <c r="J12" s="1643"/>
      <c r="K12" s="2"/>
      <c r="L12" s="1642"/>
      <c r="M12" s="1643"/>
      <c r="N12" s="1642"/>
      <c r="O12" s="1643"/>
    </row>
    <row r="13" spans="1:15" ht="25.5" customHeight="1">
      <c r="A13" s="1648" t="s">
        <v>228</v>
      </c>
      <c r="B13" s="1649"/>
      <c r="C13" s="1649"/>
      <c r="D13" s="1649"/>
      <c r="E13" s="1649"/>
      <c r="F13" s="1650"/>
      <c r="G13" s="4"/>
      <c r="H13" s="4"/>
      <c r="I13" s="1672"/>
      <c r="J13" s="1680"/>
      <c r="K13" s="4"/>
      <c r="L13" s="1672"/>
      <c r="M13" s="1680"/>
      <c r="N13" s="1672"/>
      <c r="O13" s="1680"/>
    </row>
    <row r="14" spans="1:15" ht="12.75" customHeight="1">
      <c r="A14" s="1648" t="s">
        <v>229</v>
      </c>
      <c r="B14" s="1649"/>
      <c r="C14" s="1649"/>
      <c r="D14" s="1649"/>
      <c r="E14" s="1649"/>
      <c r="F14" s="1650"/>
      <c r="G14" s="2"/>
      <c r="H14" s="2"/>
      <c r="I14" s="1642"/>
      <c r="J14" s="1643"/>
      <c r="K14" s="2"/>
      <c r="L14" s="1642"/>
      <c r="M14" s="1643"/>
      <c r="N14" s="1642"/>
      <c r="O14" s="1643"/>
    </row>
    <row r="15" spans="1:15" ht="12.75" customHeight="1">
      <c r="A15" s="1676" t="s">
        <v>230</v>
      </c>
      <c r="B15" s="1677"/>
      <c r="C15" s="1677"/>
      <c r="D15" s="1677"/>
      <c r="E15" s="1677"/>
      <c r="F15" s="1678"/>
      <c r="G15" s="2"/>
      <c r="H15" s="2"/>
      <c r="I15" s="1642"/>
      <c r="J15" s="1643"/>
      <c r="K15" s="2"/>
      <c r="L15" s="1642"/>
      <c r="M15" s="1643"/>
      <c r="N15" s="1642"/>
      <c r="O15" s="1643"/>
    </row>
    <row r="16" spans="1:15" ht="12.75" customHeight="1">
      <c r="A16" s="1648" t="s">
        <v>231</v>
      </c>
      <c r="B16" s="1649"/>
      <c r="C16" s="1649"/>
      <c r="D16" s="1649"/>
      <c r="E16" s="1649"/>
      <c r="F16" s="1650"/>
      <c r="G16" s="2"/>
      <c r="H16" s="2"/>
      <c r="I16" s="1642"/>
      <c r="J16" s="1643"/>
      <c r="K16" s="2"/>
      <c r="L16" s="1642"/>
      <c r="M16" s="1643"/>
      <c r="N16" s="1642"/>
      <c r="O16" s="1643"/>
    </row>
    <row r="17" spans="1:15" ht="12.75" customHeight="1">
      <c r="A17" s="1648" t="s">
        <v>232</v>
      </c>
      <c r="B17" s="1649"/>
      <c r="C17" s="1649"/>
      <c r="D17" s="1649"/>
      <c r="E17" s="1649"/>
      <c r="F17" s="1650"/>
      <c r="G17" s="2"/>
      <c r="H17" s="2"/>
      <c r="I17" s="1642"/>
      <c r="J17" s="1643"/>
      <c r="K17" s="2"/>
      <c r="L17" s="1642"/>
      <c r="M17" s="1643"/>
      <c r="N17" s="1642"/>
      <c r="O17" s="1643"/>
    </row>
    <row r="18" spans="1:15" ht="12.75" customHeight="1">
      <c r="A18" s="1648" t="s">
        <v>233</v>
      </c>
      <c r="B18" s="1649"/>
      <c r="C18" s="1649"/>
      <c r="D18" s="1649"/>
      <c r="E18" s="1649"/>
      <c r="F18" s="1650"/>
      <c r="G18" s="3" t="s">
        <v>234</v>
      </c>
      <c r="H18" s="3" t="s">
        <v>234</v>
      </c>
      <c r="I18" s="1676" t="s">
        <v>234</v>
      </c>
      <c r="J18" s="1678"/>
      <c r="K18" s="3" t="s">
        <v>234</v>
      </c>
      <c r="L18" s="1676" t="s">
        <v>234</v>
      </c>
      <c r="M18" s="1678"/>
      <c r="N18" s="1642"/>
      <c r="O18" s="1643"/>
    </row>
    <row r="19" spans="1:15" ht="12.75" customHeight="1">
      <c r="A19" s="1676" t="s">
        <v>235</v>
      </c>
      <c r="B19" s="1677"/>
      <c r="C19" s="1677"/>
      <c r="D19" s="1677"/>
      <c r="E19" s="1677"/>
      <c r="F19" s="1678"/>
      <c r="G19" s="2"/>
      <c r="H19" s="2"/>
      <c r="I19" s="1642"/>
      <c r="J19" s="1643"/>
      <c r="K19" s="2"/>
      <c r="L19" s="1642"/>
      <c r="M19" s="1643"/>
      <c r="N19" s="1642"/>
      <c r="O19" s="1643"/>
    </row>
    <row r="20" spans="1:15" ht="12.75" customHeight="1">
      <c r="A20" s="1648" t="s">
        <v>236</v>
      </c>
      <c r="B20" s="1649"/>
      <c r="C20" s="1649"/>
      <c r="D20" s="1649"/>
      <c r="E20" s="1649"/>
      <c r="F20" s="1650"/>
      <c r="G20" s="2"/>
      <c r="H20" s="2"/>
      <c r="I20" s="1642"/>
      <c r="J20" s="1643"/>
      <c r="K20" s="2"/>
      <c r="L20" s="1642"/>
      <c r="M20" s="1643"/>
      <c r="N20" s="1642"/>
      <c r="O20" s="1643"/>
    </row>
    <row r="21" spans="1:15" ht="12.75" customHeight="1">
      <c r="A21" s="1676" t="s">
        <v>237</v>
      </c>
      <c r="B21" s="1677"/>
      <c r="C21" s="1677"/>
      <c r="D21" s="1677"/>
      <c r="E21" s="1677"/>
      <c r="F21" s="1678"/>
      <c r="G21" s="2"/>
      <c r="H21" s="2"/>
      <c r="I21" s="1642"/>
      <c r="J21" s="1643"/>
      <c r="K21" s="2"/>
      <c r="L21" s="1642"/>
      <c r="M21" s="1643"/>
      <c r="N21" s="1642"/>
      <c r="O21" s="1643"/>
    </row>
    <row r="22" spans="1:15" ht="12.75" customHeight="1">
      <c r="A22" s="1648" t="s">
        <v>238</v>
      </c>
      <c r="B22" s="1649"/>
      <c r="C22" s="1649"/>
      <c r="D22" s="1649"/>
      <c r="E22" s="1649"/>
      <c r="F22" s="1650"/>
      <c r="G22" s="2"/>
      <c r="H22" s="2"/>
      <c r="I22" s="1642"/>
      <c r="J22" s="1643"/>
      <c r="K22" s="2"/>
      <c r="L22" s="1642"/>
      <c r="M22" s="1643"/>
      <c r="N22" s="1642"/>
      <c r="O22" s="1643"/>
    </row>
    <row r="23" spans="1:15" ht="12.75" customHeight="1">
      <c r="A23" s="1676" t="s">
        <v>239</v>
      </c>
      <c r="B23" s="1677"/>
      <c r="C23" s="1677"/>
      <c r="D23" s="1677"/>
      <c r="E23" s="1677"/>
      <c r="F23" s="1678"/>
      <c r="G23" s="2"/>
      <c r="H23" s="2"/>
      <c r="I23" s="1642"/>
      <c r="J23" s="1643"/>
      <c r="K23" s="2"/>
      <c r="L23" s="1642"/>
      <c r="M23" s="1643"/>
      <c r="N23" s="1642"/>
      <c r="O23" s="1643"/>
    </row>
    <row r="24" spans="1:15" ht="12.75" customHeight="1">
      <c r="A24" s="1648" t="s">
        <v>240</v>
      </c>
      <c r="B24" s="1649"/>
      <c r="C24" s="1649"/>
      <c r="D24" s="1649"/>
      <c r="E24" s="1649"/>
      <c r="F24" s="1650"/>
      <c r="G24" s="2"/>
      <c r="H24" s="2"/>
      <c r="I24" s="1642"/>
      <c r="J24" s="1643"/>
      <c r="K24" s="2"/>
      <c r="L24" s="1642"/>
      <c r="M24" s="1643"/>
      <c r="N24" s="1642"/>
      <c r="O24" s="1643"/>
    </row>
    <row r="25" spans="1:15" ht="12.75" customHeight="1">
      <c r="A25" s="1648" t="s">
        <v>241</v>
      </c>
      <c r="B25" s="1649"/>
      <c r="C25" s="1649"/>
      <c r="D25" s="1649"/>
      <c r="E25" s="1649"/>
      <c r="F25" s="1650"/>
      <c r="G25" s="2"/>
      <c r="H25" s="2"/>
      <c r="I25" s="1642"/>
      <c r="J25" s="1643"/>
      <c r="K25" s="2"/>
      <c r="L25" s="1642"/>
      <c r="M25" s="1643"/>
      <c r="N25" s="1642"/>
      <c r="O25" s="1643"/>
    </row>
    <row r="26" spans="1:15" ht="12.75" customHeight="1">
      <c r="A26" s="1648" t="s">
        <v>242</v>
      </c>
      <c r="B26" s="1649"/>
      <c r="C26" s="1649"/>
      <c r="D26" s="1649"/>
      <c r="E26" s="1649"/>
      <c r="F26" s="1650"/>
      <c r="G26" s="2"/>
      <c r="H26" s="2"/>
      <c r="I26" s="1642"/>
      <c r="J26" s="1643"/>
      <c r="K26" s="2"/>
      <c r="L26" s="1642"/>
      <c r="M26" s="1643"/>
      <c r="N26" s="1642"/>
      <c r="O26" s="1643"/>
    </row>
    <row r="27" spans="1:15" ht="11.25" customHeight="1">
      <c r="A27" s="1642"/>
      <c r="B27" s="1679"/>
      <c r="C27" s="1679"/>
      <c r="D27" s="1679"/>
      <c r="E27" s="1679"/>
      <c r="F27" s="1643"/>
      <c r="G27" s="2"/>
      <c r="H27" s="2"/>
      <c r="I27" s="1642"/>
      <c r="J27" s="1643"/>
      <c r="K27" s="2"/>
      <c r="L27" s="1642"/>
      <c r="M27" s="1643"/>
      <c r="N27" s="1642"/>
      <c r="O27" s="1643"/>
    </row>
    <row r="28" spans="1:15" ht="12.75" customHeight="1">
      <c r="A28" s="1642"/>
      <c r="B28" s="1679"/>
      <c r="C28" s="1679"/>
      <c r="D28" s="1679"/>
      <c r="E28" s="1679"/>
      <c r="F28" s="1643"/>
      <c r="G28" s="3" t="s">
        <v>243</v>
      </c>
      <c r="H28" s="3" t="s">
        <v>244</v>
      </c>
      <c r="I28" s="1676" t="s">
        <v>245</v>
      </c>
      <c r="J28" s="1678"/>
      <c r="K28" s="3" t="s">
        <v>246</v>
      </c>
      <c r="L28" s="1642"/>
      <c r="M28" s="1643"/>
      <c r="N28" s="1642"/>
      <c r="O28" s="1643"/>
    </row>
    <row r="29" spans="1:15" ht="12.75" customHeight="1">
      <c r="A29" s="1676" t="s">
        <v>247</v>
      </c>
      <c r="B29" s="1677"/>
      <c r="C29" s="1677"/>
      <c r="D29" s="1677"/>
      <c r="E29" s="1677"/>
      <c r="F29" s="1678"/>
      <c r="G29" s="2"/>
      <c r="H29" s="2"/>
      <c r="I29" s="1642"/>
      <c r="J29" s="1643"/>
      <c r="K29" s="2"/>
      <c r="L29" s="1642"/>
      <c r="M29" s="1643"/>
      <c r="N29" s="1676" t="s">
        <v>248</v>
      </c>
      <c r="O29" s="1678"/>
    </row>
    <row r="30" spans="1:15" ht="11.25" customHeight="1">
      <c r="A30" s="1642"/>
      <c r="B30" s="1679"/>
      <c r="C30" s="1679"/>
      <c r="D30" s="1679"/>
      <c r="E30" s="1679"/>
      <c r="F30" s="1643"/>
      <c r="G30" s="2"/>
      <c r="H30" s="2"/>
      <c r="I30" s="1642"/>
      <c r="J30" s="1643"/>
      <c r="K30" s="2"/>
      <c r="L30" s="1642"/>
      <c r="M30" s="1643"/>
      <c r="N30" s="1642"/>
      <c r="O30" s="1643"/>
    </row>
    <row r="31" spans="1:15" ht="12.75" customHeight="1">
      <c r="A31" s="1676" t="s">
        <v>249</v>
      </c>
      <c r="B31" s="1677"/>
      <c r="C31" s="1677"/>
      <c r="D31" s="1677"/>
      <c r="E31" s="1677"/>
      <c r="F31" s="1678"/>
      <c r="G31" s="2"/>
      <c r="H31" s="2"/>
      <c r="I31" s="1642"/>
      <c r="J31" s="1643"/>
      <c r="K31" s="2"/>
      <c r="L31" s="1642"/>
      <c r="M31" s="1643"/>
      <c r="N31" s="1642"/>
      <c r="O31" s="1643"/>
    </row>
    <row r="32" spans="1:15" ht="12.75" customHeight="1">
      <c r="A32" s="1676" t="s">
        <v>250</v>
      </c>
      <c r="B32" s="1677"/>
      <c r="C32" s="1677"/>
      <c r="D32" s="1677"/>
      <c r="E32" s="1677"/>
      <c r="F32" s="1678"/>
      <c r="G32" s="2"/>
      <c r="H32" s="2"/>
      <c r="I32" s="1642"/>
      <c r="J32" s="1643"/>
      <c r="K32" s="2"/>
      <c r="L32" s="1642"/>
      <c r="M32" s="1643"/>
      <c r="N32" s="1642"/>
      <c r="O32" s="1643"/>
    </row>
    <row r="33" spans="1:15" ht="12.75" customHeight="1">
      <c r="A33" s="1676" t="s">
        <v>251</v>
      </c>
      <c r="B33" s="1677"/>
      <c r="C33" s="1677"/>
      <c r="D33" s="1677"/>
      <c r="E33" s="1677"/>
      <c r="F33" s="1678"/>
      <c r="G33" s="2"/>
      <c r="H33" s="2"/>
      <c r="I33" s="1642"/>
      <c r="J33" s="1643"/>
      <c r="K33" s="2"/>
      <c r="L33" s="1642"/>
      <c r="M33" s="1643"/>
      <c r="N33" s="1642"/>
      <c r="O33" s="1643"/>
    </row>
    <row r="34" spans="1:15" ht="12.75" customHeight="1">
      <c r="A34" t="s">
        <v>252</v>
      </c>
    </row>
    <row r="35" spans="1:15" ht="12.75" customHeight="1">
      <c r="A35" t="s">
        <v>253</v>
      </c>
    </row>
    <row r="36" spans="1:15" ht="12.75" customHeight="1">
      <c r="A36" t="s">
        <v>254</v>
      </c>
    </row>
    <row r="37" spans="1:15" ht="12.75" customHeight="1">
      <c r="A37" t="s">
        <v>255</v>
      </c>
    </row>
    <row r="38" spans="1:15" ht="12.75" customHeight="1">
      <c r="A38" t="s">
        <v>256</v>
      </c>
    </row>
    <row r="39" spans="1:15" ht="12.75" customHeight="1">
      <c r="A39" t="s">
        <v>257</v>
      </c>
    </row>
    <row r="40" spans="1:15" ht="12.75" customHeight="1">
      <c r="A40" t="s">
        <v>258</v>
      </c>
    </row>
    <row r="41" spans="1:15" ht="12.75" customHeight="1">
      <c r="A41" t="s">
        <v>259</v>
      </c>
    </row>
    <row r="42" spans="1:15" ht="12.75" customHeight="1">
      <c r="A42" t="s">
        <v>260</v>
      </c>
    </row>
    <row r="43" spans="1:15" ht="12.75" customHeight="1">
      <c r="A43" t="s">
        <v>261</v>
      </c>
    </row>
    <row r="44" spans="1:15" ht="12.75" customHeight="1">
      <c r="A44" t="s">
        <v>262</v>
      </c>
    </row>
    <row r="45" spans="1:15" ht="12.75" customHeight="1">
      <c r="A45" t="s">
        <v>263</v>
      </c>
    </row>
    <row r="46" spans="1:15" ht="12.75" customHeight="1">
      <c r="A46" t="s">
        <v>264</v>
      </c>
    </row>
    <row r="47" spans="1:15" ht="12.75" customHeight="1">
      <c r="A47" t="s">
        <v>265</v>
      </c>
    </row>
    <row r="48" spans="1:15" ht="12.75" customHeight="1">
      <c r="A48" t="s">
        <v>266</v>
      </c>
    </row>
    <row r="49" spans="1:1" ht="12.75" customHeight="1">
      <c r="A49" t="s">
        <v>267</v>
      </c>
    </row>
    <row r="50" spans="1:1" ht="12.75" customHeight="1">
      <c r="A50" s="7" t="s">
        <v>268</v>
      </c>
    </row>
    <row r="51" spans="1:1" ht="9.9499999999999993" customHeight="1">
      <c r="A51" s="8" t="s">
        <v>2</v>
      </c>
    </row>
  </sheetData>
  <mergeCells count="104">
    <mergeCell ref="A8:F8"/>
    <mergeCell ref="I8:J8"/>
    <mergeCell ref="L8:M8"/>
    <mergeCell ref="N8:O8"/>
    <mergeCell ref="A9:F9"/>
    <mergeCell ref="I9:J9"/>
    <mergeCell ref="L9:M9"/>
    <mergeCell ref="N9:O9"/>
    <mergeCell ref="A10:F10"/>
    <mergeCell ref="I10:J10"/>
    <mergeCell ref="L10:M10"/>
    <mergeCell ref="N10:O10"/>
    <mergeCell ref="A11:F11"/>
    <mergeCell ref="I11:J11"/>
    <mergeCell ref="L11:M11"/>
    <mergeCell ref="N11:O11"/>
    <mergeCell ref="A12:F12"/>
    <mergeCell ref="I12:J12"/>
    <mergeCell ref="L12:M12"/>
    <mergeCell ref="N12:O12"/>
    <mergeCell ref="A13:F13"/>
    <mergeCell ref="I13:J13"/>
    <mergeCell ref="L13:M13"/>
    <mergeCell ref="N13:O13"/>
    <mergeCell ref="A14:F14"/>
    <mergeCell ref="I14:J14"/>
    <mergeCell ref="L14:M14"/>
    <mergeCell ref="N14:O14"/>
    <mergeCell ref="A15:F15"/>
    <mergeCell ref="I15:J15"/>
    <mergeCell ref="L15:M15"/>
    <mergeCell ref="N15:O15"/>
    <mergeCell ref="A16:F16"/>
    <mergeCell ref="I16:J16"/>
    <mergeCell ref="L16:M16"/>
    <mergeCell ref="N16:O16"/>
    <mergeCell ref="A17:F17"/>
    <mergeCell ref="I17:J17"/>
    <mergeCell ref="L17:M17"/>
    <mergeCell ref="N17:O17"/>
    <mergeCell ref="A18:F18"/>
    <mergeCell ref="I18:J18"/>
    <mergeCell ref="L18:M18"/>
    <mergeCell ref="N18:O18"/>
    <mergeCell ref="A19:F19"/>
    <mergeCell ref="I19:J19"/>
    <mergeCell ref="L19:M19"/>
    <mergeCell ref="N19:O19"/>
    <mergeCell ref="A20:F20"/>
    <mergeCell ref="I20:J20"/>
    <mergeCell ref="L20:M20"/>
    <mergeCell ref="N20:O20"/>
    <mergeCell ref="A21:F21"/>
    <mergeCell ref="I21:J21"/>
    <mergeCell ref="L21:M21"/>
    <mergeCell ref="N21:O21"/>
    <mergeCell ref="A22:F22"/>
    <mergeCell ref="I22:J22"/>
    <mergeCell ref="L22:M22"/>
    <mergeCell ref="N22:O22"/>
    <mergeCell ref="A23:F23"/>
    <mergeCell ref="I23:J23"/>
    <mergeCell ref="L23:M23"/>
    <mergeCell ref="N23:O23"/>
    <mergeCell ref="A24:F24"/>
    <mergeCell ref="I24:J24"/>
    <mergeCell ref="L24:M24"/>
    <mergeCell ref="N24:O24"/>
    <mergeCell ref="A25:F25"/>
    <mergeCell ref="I25:J25"/>
    <mergeCell ref="L25:M25"/>
    <mergeCell ref="N25:O25"/>
    <mergeCell ref="A26:F26"/>
    <mergeCell ref="I26:J26"/>
    <mergeCell ref="L26:M26"/>
    <mergeCell ref="N26:O26"/>
    <mergeCell ref="A27:F27"/>
    <mergeCell ref="I27:J27"/>
    <mergeCell ref="L27:M27"/>
    <mergeCell ref="N27:O27"/>
    <mergeCell ref="A28:F28"/>
    <mergeCell ref="I28:J28"/>
    <mergeCell ref="L28:M28"/>
    <mergeCell ref="N28:O28"/>
    <mergeCell ref="A32:F32"/>
    <mergeCell ref="I32:J32"/>
    <mergeCell ref="L32:M32"/>
    <mergeCell ref="N32:O32"/>
    <mergeCell ref="A33:F33"/>
    <mergeCell ref="I33:J33"/>
    <mergeCell ref="L33:M33"/>
    <mergeCell ref="N33:O33"/>
    <mergeCell ref="A29:F29"/>
    <mergeCell ref="I29:J29"/>
    <mergeCell ref="L29:M29"/>
    <mergeCell ref="N29:O29"/>
    <mergeCell ref="A30:F30"/>
    <mergeCell ref="I30:J30"/>
    <mergeCell ref="L30:M30"/>
    <mergeCell ref="N30:O30"/>
    <mergeCell ref="A31:F31"/>
    <mergeCell ref="I31:J31"/>
    <mergeCell ref="L31:M31"/>
    <mergeCell ref="N31:O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tabColor rgb="FF00B050"/>
  </sheetPr>
  <dimension ref="A1:M84"/>
  <sheetViews>
    <sheetView tabSelected="1" workbookViewId="0">
      <selection activeCell="G17" sqref="G17"/>
    </sheetView>
  </sheetViews>
  <sheetFormatPr defaultColWidth="9.1640625" defaultRowHeight="18" customHeight="1"/>
  <cols>
    <col min="1" max="1" width="9.1640625" style="1248"/>
    <col min="2" max="2" width="47.5" style="1248" customWidth="1"/>
    <col min="3" max="3" width="13.83203125" style="1248" customWidth="1"/>
    <col min="4" max="4" width="12.1640625" style="1248" customWidth="1"/>
    <col min="5" max="5" width="12.5" style="1248" customWidth="1"/>
    <col min="6" max="6" width="13.1640625" style="1248" customWidth="1"/>
    <col min="7" max="7" width="12.5" style="1248" bestFit="1" customWidth="1"/>
    <col min="8" max="8" width="9.1640625" style="1248"/>
    <col min="9" max="9" width="25.83203125" style="1248" customWidth="1"/>
    <col min="10" max="16384" width="9.1640625" style="1248"/>
  </cols>
  <sheetData>
    <row r="1" spans="1:7" ht="18" customHeight="1">
      <c r="A1" s="1358"/>
      <c r="B1" s="1342"/>
      <c r="C1" s="1342"/>
      <c r="D1" s="1342"/>
      <c r="E1" s="1342"/>
      <c r="F1" s="1342"/>
      <c r="G1" s="1343"/>
    </row>
    <row r="2" spans="1:7" ht="18" customHeight="1">
      <c r="A2" s="1344"/>
      <c r="B2" s="1340" t="s">
        <v>1295</v>
      </c>
      <c r="G2" s="1345"/>
    </row>
    <row r="3" spans="1:7" ht="18" customHeight="1">
      <c r="A3" s="1344"/>
      <c r="G3" s="1345"/>
    </row>
    <row r="4" spans="1:7" ht="18" customHeight="1">
      <c r="A4" s="1344"/>
      <c r="B4" s="1248" t="s">
        <v>1104</v>
      </c>
      <c r="D4" s="1248" t="s">
        <v>996</v>
      </c>
      <c r="G4" s="1345"/>
    </row>
    <row r="5" spans="1:7" ht="18" customHeight="1">
      <c r="A5" s="1344"/>
      <c r="B5" s="1248" t="s">
        <v>1105</v>
      </c>
      <c r="D5" s="1248" t="s">
        <v>461</v>
      </c>
      <c r="G5" s="1345"/>
    </row>
    <row r="6" spans="1:7" ht="18" customHeight="1">
      <c r="A6" s="1344"/>
      <c r="G6" s="1345"/>
    </row>
    <row r="7" spans="1:7" ht="18" customHeight="1">
      <c r="A7" s="1344"/>
      <c r="G7" s="1345"/>
    </row>
    <row r="8" spans="1:7" ht="18" customHeight="1">
      <c r="A8" s="1344"/>
      <c r="F8" s="1264"/>
      <c r="G8" s="1345" t="s">
        <v>1315</v>
      </c>
    </row>
    <row r="9" spans="1:7" ht="18" customHeight="1">
      <c r="A9" s="1349" t="s">
        <v>1010</v>
      </c>
      <c r="B9" s="1452" t="s">
        <v>768</v>
      </c>
      <c r="C9" s="1471" t="s">
        <v>1267</v>
      </c>
      <c r="D9" s="1471"/>
      <c r="E9" s="1471"/>
      <c r="F9" s="1471"/>
      <c r="G9" s="1472"/>
    </row>
    <row r="10" spans="1:7" ht="18" customHeight="1">
      <c r="A10" s="1349"/>
      <c r="B10" s="1266"/>
      <c r="C10" s="1266" t="s">
        <v>1271</v>
      </c>
      <c r="D10" s="1266" t="s">
        <v>1270</v>
      </c>
      <c r="E10" s="1266" t="s">
        <v>1269</v>
      </c>
      <c r="F10" s="1266" t="s">
        <v>1268</v>
      </c>
      <c r="G10" s="1347" t="s">
        <v>1272</v>
      </c>
    </row>
    <row r="11" spans="1:7" ht="18" customHeight="1">
      <c r="A11" s="1349"/>
      <c r="B11" s="1267"/>
      <c r="C11" s="1267" t="s">
        <v>1026</v>
      </c>
      <c r="D11" s="1267" t="s">
        <v>1027</v>
      </c>
      <c r="E11" s="1267" t="s">
        <v>1028</v>
      </c>
      <c r="F11" s="1267" t="s">
        <v>1029</v>
      </c>
      <c r="G11" s="1348" t="s">
        <v>1030</v>
      </c>
    </row>
    <row r="12" spans="1:7" ht="18" customHeight="1">
      <c r="A12" s="1359" t="s">
        <v>1229</v>
      </c>
      <c r="B12" s="1268" t="s">
        <v>884</v>
      </c>
      <c r="C12" s="1269"/>
      <c r="D12" s="1269"/>
      <c r="E12" s="1269"/>
      <c r="F12" s="1269"/>
      <c r="G12" s="1360"/>
    </row>
    <row r="13" spans="1:7" ht="18" customHeight="1">
      <c r="A13" s="1359">
        <v>1</v>
      </c>
      <c r="B13" s="1269" t="s">
        <v>454</v>
      </c>
      <c r="C13" s="1280">
        <f>'Form 1'!H17*100</f>
        <v>43735.309975145996</v>
      </c>
      <c r="D13" s="1280">
        <f>'Form 1'!I17*100</f>
        <v>44302.399687664285</v>
      </c>
      <c r="E13" s="1280">
        <f>'Form 1'!J17*100</f>
        <v>45687.490302736151</v>
      </c>
      <c r="F13" s="1280">
        <f>'Form 1'!K17*100</f>
        <v>48618.514891236999</v>
      </c>
      <c r="G13" s="1361">
        <f>'Form 1'!L17*100</f>
        <v>50747.793293283845</v>
      </c>
    </row>
    <row r="14" spans="1:7" ht="18" customHeight="1">
      <c r="A14" s="1359">
        <v>2</v>
      </c>
      <c r="B14" s="1269" t="s">
        <v>426</v>
      </c>
      <c r="C14" s="1280">
        <f>'Form 1'!H18*100</f>
        <v>48439.108373618721</v>
      </c>
      <c r="D14" s="1280">
        <f>'Form 1'!I18*100</f>
        <v>44772.962680815399</v>
      </c>
      <c r="E14" s="1280">
        <f>'Form 1'!J18*100</f>
        <v>42059.084891304978</v>
      </c>
      <c r="F14" s="1280">
        <f>'Form 1'!K18*100</f>
        <v>41240.060326412327</v>
      </c>
      <c r="G14" s="1361">
        <f>'Form 1'!L18*100</f>
        <v>39111.13120900176</v>
      </c>
    </row>
    <row r="15" spans="1:7" ht="18" customHeight="1">
      <c r="A15" s="1359">
        <v>3</v>
      </c>
      <c r="B15" s="1261" t="s">
        <v>1350</v>
      </c>
      <c r="C15" s="1281">
        <f>'Form 1'!H19*100</f>
        <v>50151.242829827905</v>
      </c>
      <c r="D15" s="1281">
        <f>'Form 1'!I19*100</f>
        <v>50835.109942638606</v>
      </c>
      <c r="E15" s="1281">
        <f>'Form 1'!J19*100</f>
        <v>52392.163479923525</v>
      </c>
      <c r="F15" s="1281">
        <f>'Form 1'!K19*100</f>
        <v>55704.984703632872</v>
      </c>
      <c r="G15" s="1362">
        <f>'Form 1'!L19*100</f>
        <v>58144.619502868067</v>
      </c>
    </row>
    <row r="16" spans="1:7" ht="18" customHeight="1">
      <c r="A16" s="1359">
        <v>4</v>
      </c>
      <c r="B16" s="1261" t="s">
        <v>455</v>
      </c>
      <c r="C16" s="1281">
        <f>'Form 1'!H20*100</f>
        <v>0</v>
      </c>
      <c r="D16" s="1281">
        <f>'Form 1'!I20*100</f>
        <v>0</v>
      </c>
      <c r="E16" s="1281">
        <f>'Form 1'!J20*100</f>
        <v>0</v>
      </c>
      <c r="F16" s="1281">
        <f>'Form 1'!K20*100</f>
        <v>1283.7517754296584</v>
      </c>
      <c r="G16" s="1362">
        <f>'Form 1'!L20*100</f>
        <v>0</v>
      </c>
    </row>
    <row r="17" spans="1:7" ht="18" customHeight="1">
      <c r="A17" s="1359">
        <v>5</v>
      </c>
      <c r="B17" s="1261" t="s">
        <v>1335</v>
      </c>
      <c r="C17" s="1281">
        <f ca="1">'Form 1'!H21*100</f>
        <v>9692.3141151430755</v>
      </c>
      <c r="D17" s="1281">
        <f ca="1">'Form 1'!I21*100</f>
        <v>10386.104796964923</v>
      </c>
      <c r="E17" s="1281">
        <f ca="1">'Form 1'!J21*100</f>
        <v>11251.004102664172</v>
      </c>
      <c r="F17" s="1281">
        <f ca="1">'Form 1'!K21*100</f>
        <v>12431.041312470952</v>
      </c>
      <c r="G17" s="1362">
        <f ca="1">'Form 1'!L21*100</f>
        <v>13506.44699851193</v>
      </c>
    </row>
    <row r="18" spans="1:7" ht="18" customHeight="1">
      <c r="A18" s="1359">
        <v>6</v>
      </c>
      <c r="B18" s="1269" t="s">
        <v>1298</v>
      </c>
      <c r="C18" s="1281">
        <f>'FGD and Nox'!B31*100</f>
        <v>0</v>
      </c>
      <c r="D18" s="1281">
        <f>'FGD and Nox'!C31*100</f>
        <v>0</v>
      </c>
      <c r="E18" s="1281">
        <f>'FGD and Nox'!D31*100</f>
        <v>39.546289999999999</v>
      </c>
      <c r="F18" s="1281">
        <f>'FGD and Nox'!E31*100</f>
        <v>39.546289999999999</v>
      </c>
      <c r="G18" s="1362">
        <f>'FGD and Nox'!F31*100</f>
        <v>39.549440000000004</v>
      </c>
    </row>
    <row r="19" spans="1:7" ht="37.15" customHeight="1">
      <c r="A19" s="1359">
        <v>7</v>
      </c>
      <c r="B19" s="1261" t="s">
        <v>1334</v>
      </c>
      <c r="C19" s="1281">
        <f>'Form 1'!H22*100</f>
        <v>22900.606341028219</v>
      </c>
      <c r="D19" s="1281">
        <f>'Form 1'!I22*100</f>
        <v>24251.059599878983</v>
      </c>
      <c r="E19" s="1281">
        <f>'Form 1'!J22*100</f>
        <v>25637.426183651507</v>
      </c>
      <c r="F19" s="1281">
        <f>'Form 1'!K22*100</f>
        <v>27784.304866050672</v>
      </c>
      <c r="G19" s="1362">
        <f>'Form 1'!L22*100</f>
        <v>29139.853364301423</v>
      </c>
    </row>
    <row r="20" spans="1:7" ht="28.15" customHeight="1">
      <c r="A20" s="1359">
        <v>8</v>
      </c>
      <c r="B20" s="1261" t="s">
        <v>1297</v>
      </c>
      <c r="C20" s="1281">
        <f>'FGD and Nox'!B16*100</f>
        <v>0</v>
      </c>
      <c r="D20" s="1281">
        <f>'FGD and Nox'!C16*100</f>
        <v>0</v>
      </c>
      <c r="E20" s="1281">
        <f>'FGD and Nox'!D16*100</f>
        <v>1290.6400000000001</v>
      </c>
      <c r="F20" s="1281">
        <f>'FGD and Nox'!E16*100</f>
        <v>1290.6400000000001</v>
      </c>
      <c r="G20" s="1362">
        <f>'FGD and Nox'!F16*100</f>
        <v>1290.6400000000001</v>
      </c>
    </row>
    <row r="21" spans="1:7" ht="35.450000000000003" customHeight="1">
      <c r="A21" s="1359">
        <v>9</v>
      </c>
      <c r="B21" s="1261" t="s">
        <v>1299</v>
      </c>
      <c r="C21" s="1281">
        <f>'FGD and Nox'!B37*100</f>
        <v>0</v>
      </c>
      <c r="D21" s="1281">
        <f>'FGD and Nox'!C37*100</f>
        <v>38</v>
      </c>
      <c r="E21" s="1281">
        <f>'FGD and Nox'!D37*100</f>
        <v>76</v>
      </c>
      <c r="F21" s="1281">
        <f>'FGD and Nox'!E37*100</f>
        <v>76</v>
      </c>
      <c r="G21" s="1362">
        <f>'FGD and Nox'!F37*100</f>
        <v>76</v>
      </c>
    </row>
    <row r="22" spans="1:7" ht="18" customHeight="1">
      <c r="A22" s="1349"/>
      <c r="B22" s="1270" t="s">
        <v>1351</v>
      </c>
      <c r="C22" s="1282">
        <f ca="1">SUM(C13:C21)</f>
        <v>174918.58163476389</v>
      </c>
      <c r="D22" s="1282">
        <f t="shared" ref="D22:G22" ca="1" si="0">SUM(D13:D21)</f>
        <v>174585.63670796223</v>
      </c>
      <c r="E22" s="1282">
        <f t="shared" ca="1" si="0"/>
        <v>178433.35525028035</v>
      </c>
      <c r="F22" s="1282">
        <f t="shared" ca="1" si="0"/>
        <v>188468.84416523349</v>
      </c>
      <c r="G22" s="1363">
        <f t="shared" ca="1" si="0"/>
        <v>192056.03380796703</v>
      </c>
    </row>
    <row r="23" spans="1:7" ht="18" customHeight="1">
      <c r="A23" s="1349"/>
      <c r="B23" s="1270"/>
      <c r="C23" s="1282"/>
      <c r="D23" s="1282"/>
      <c r="E23" s="1282"/>
      <c r="F23" s="1282"/>
      <c r="G23" s="1363"/>
    </row>
    <row r="24" spans="1:7" ht="18" customHeight="1">
      <c r="A24" s="1364" t="s">
        <v>1230</v>
      </c>
      <c r="B24" s="1270" t="s">
        <v>1333</v>
      </c>
      <c r="C24" s="1281"/>
      <c r="D24" s="1281"/>
      <c r="E24" s="1281"/>
      <c r="F24" s="1281"/>
      <c r="G24" s="1362"/>
    </row>
    <row r="25" spans="1:7" ht="18" customHeight="1">
      <c r="A25" s="1364">
        <v>1</v>
      </c>
      <c r="B25" s="1261" t="s">
        <v>1300</v>
      </c>
      <c r="C25" s="1281">
        <f>'FUEL COST'!F16</f>
        <v>257531.24019795554</v>
      </c>
      <c r="D25" s="1281">
        <f>'FUEL COST'!G16</f>
        <v>285413.47690344823</v>
      </c>
      <c r="E25" s="1281">
        <f>'FUEL COST'!H16</f>
        <v>317314.55649192934</v>
      </c>
      <c r="F25" s="1281">
        <f>'FUEL COST'!I16</f>
        <v>352742.96280413785</v>
      </c>
      <c r="G25" s="1362">
        <f>'FUEL COST'!J16</f>
        <v>393244.70772386587</v>
      </c>
    </row>
    <row r="26" spans="1:7" ht="18" customHeight="1">
      <c r="A26" s="1364">
        <v>2</v>
      </c>
      <c r="B26" s="1261" t="s">
        <v>1301</v>
      </c>
      <c r="C26" s="1281">
        <f>'FGD and Nox'!B23*100</f>
        <v>0</v>
      </c>
      <c r="D26" s="1281">
        <f>'FGD and Nox'!C23*100</f>
        <v>0</v>
      </c>
      <c r="E26" s="1281">
        <f>'FGD and Nox'!D23*100</f>
        <v>131.4</v>
      </c>
      <c r="F26" s="1281">
        <f>'FGD and Nox'!E23*100</f>
        <v>131.4</v>
      </c>
      <c r="G26" s="1362">
        <f>'FGD and Nox'!F23*100</f>
        <v>131.76000000000002</v>
      </c>
    </row>
    <row r="27" spans="1:7" ht="18" customHeight="1">
      <c r="A27" s="1349"/>
      <c r="B27" s="1270" t="s">
        <v>1352</v>
      </c>
      <c r="C27" s="1282">
        <f>C25+C26</f>
        <v>257531.24019795554</v>
      </c>
      <c r="D27" s="1282">
        <f t="shared" ref="D27:G27" si="1">D25+D26</f>
        <v>285413.47690344823</v>
      </c>
      <c r="E27" s="1282">
        <f t="shared" si="1"/>
        <v>317445.95649192936</v>
      </c>
      <c r="F27" s="1282">
        <f t="shared" si="1"/>
        <v>352874.36280413787</v>
      </c>
      <c r="G27" s="1363">
        <f t="shared" si="1"/>
        <v>393376.46772386588</v>
      </c>
    </row>
    <row r="28" spans="1:7" ht="18" customHeight="1">
      <c r="A28" s="1349"/>
      <c r="B28" s="1271"/>
      <c r="C28" s="1281"/>
      <c r="D28" s="1281"/>
      <c r="E28" s="1281"/>
      <c r="F28" s="1281"/>
      <c r="G28" s="1362"/>
    </row>
    <row r="29" spans="1:7" ht="18" customHeight="1">
      <c r="A29" s="1359" t="s">
        <v>1231</v>
      </c>
      <c r="B29" s="1270" t="s">
        <v>1296</v>
      </c>
      <c r="C29" s="1282">
        <f>Incentive!C16*100</f>
        <v>5436.497265942362</v>
      </c>
      <c r="D29" s="1282">
        <f>Incentive!D16*100</f>
        <v>5421.6434482758541</v>
      </c>
      <c r="E29" s="1282">
        <f>Incentive!E16*100</f>
        <v>5401.3662316455975</v>
      </c>
      <c r="F29" s="1282">
        <f>Incentive!F16*100</f>
        <v>5334.1975862068921</v>
      </c>
      <c r="G29" s="1363">
        <f>Incentive!G16*100</f>
        <v>5348.8118261690988</v>
      </c>
    </row>
    <row r="30" spans="1:7" ht="18" customHeight="1">
      <c r="A30" s="1349"/>
      <c r="B30" s="1261"/>
      <c r="C30" s="1281"/>
      <c r="D30" s="1281"/>
      <c r="E30" s="1281"/>
      <c r="F30" s="1281"/>
      <c r="G30" s="1362"/>
    </row>
    <row r="31" spans="1:7" ht="18" customHeight="1">
      <c r="A31" s="1359" t="s">
        <v>1232</v>
      </c>
      <c r="B31" s="1270" t="s">
        <v>1336</v>
      </c>
      <c r="C31" s="1281"/>
      <c r="D31" s="1281"/>
      <c r="E31" s="1281"/>
      <c r="F31" s="1281"/>
      <c r="G31" s="1362"/>
    </row>
    <row r="32" spans="1:7" ht="18" customHeight="1">
      <c r="A32" s="1364"/>
      <c r="B32" s="1261" t="s">
        <v>1370</v>
      </c>
      <c r="C32" s="1280">
        <v>150</v>
      </c>
      <c r="D32" s="1280">
        <v>0</v>
      </c>
      <c r="E32" s="1280">
        <v>0</v>
      </c>
      <c r="F32" s="1280">
        <v>0</v>
      </c>
      <c r="G32" s="1361">
        <v>0</v>
      </c>
    </row>
    <row r="33" spans="1:7" ht="32.450000000000003" customHeight="1">
      <c r="A33" s="1364"/>
      <c r="B33" s="1450" t="s">
        <v>1393</v>
      </c>
      <c r="C33" s="1451">
        <v>500</v>
      </c>
      <c r="D33" s="1280">
        <v>0</v>
      </c>
      <c r="E33" s="1280">
        <v>0</v>
      </c>
      <c r="F33" s="1280">
        <v>0</v>
      </c>
      <c r="G33" s="1361">
        <v>0</v>
      </c>
    </row>
    <row r="34" spans="1:7" ht="18" customHeight="1">
      <c r="A34" s="1364"/>
      <c r="B34" s="1270" t="s">
        <v>1369</v>
      </c>
      <c r="C34" s="1282">
        <f>C32+C33</f>
        <v>650</v>
      </c>
      <c r="D34" s="1282">
        <f>D32</f>
        <v>0</v>
      </c>
      <c r="E34" s="1282">
        <f>E32</f>
        <v>0</v>
      </c>
      <c r="F34" s="1282">
        <f>F32</f>
        <v>0</v>
      </c>
      <c r="G34" s="1282">
        <f>G32</f>
        <v>0</v>
      </c>
    </row>
    <row r="35" spans="1:7" ht="27.6" customHeight="1">
      <c r="A35" s="1364" t="s">
        <v>1233</v>
      </c>
      <c r="B35" s="1270" t="s">
        <v>1354</v>
      </c>
      <c r="C35" s="1282">
        <f ca="1">C22+C27+C29+C34</f>
        <v>438536.31909866177</v>
      </c>
      <c r="D35" s="1282">
        <f ca="1">D22+D27+D29+D34</f>
        <v>465420.75705968635</v>
      </c>
      <c r="E35" s="1282">
        <f ca="1">E22+E27+E29+E34</f>
        <v>501280.67797385529</v>
      </c>
      <c r="F35" s="1282">
        <f ca="1">F22+F27+F29+F34</f>
        <v>546677.40455557813</v>
      </c>
      <c r="G35" s="1282">
        <f ca="1">G22+G27+G29+G34</f>
        <v>590781.31335800199</v>
      </c>
    </row>
    <row r="36" spans="1:7" ht="18" customHeight="1">
      <c r="A36" s="1349"/>
      <c r="B36" s="1261"/>
      <c r="C36" s="1281"/>
      <c r="D36" s="1281"/>
      <c r="E36" s="1281"/>
      <c r="F36" s="1281"/>
      <c r="G36" s="1362"/>
    </row>
    <row r="37" spans="1:7" ht="18" customHeight="1">
      <c r="A37" s="1359" t="s">
        <v>1234</v>
      </c>
      <c r="B37" s="1270" t="s">
        <v>1302</v>
      </c>
      <c r="C37" s="1281"/>
      <c r="D37" s="1281"/>
      <c r="E37" s="1281"/>
      <c r="F37" s="1281"/>
      <c r="G37" s="1362"/>
    </row>
    <row r="38" spans="1:7" ht="18" customHeight="1">
      <c r="A38" s="1359">
        <v>1</v>
      </c>
      <c r="B38" s="1272" t="s">
        <v>1303</v>
      </c>
      <c r="C38" s="1281">
        <v>0</v>
      </c>
      <c r="D38" s="1281">
        <f>C38</f>
        <v>0</v>
      </c>
      <c r="E38" s="1281">
        <f t="shared" ref="E38:G38" si="2">D38</f>
        <v>0</v>
      </c>
      <c r="F38" s="1281">
        <f t="shared" si="2"/>
        <v>0</v>
      </c>
      <c r="G38" s="1362">
        <f t="shared" si="2"/>
        <v>0</v>
      </c>
    </row>
    <row r="39" spans="1:7" ht="18" customHeight="1">
      <c r="A39" s="1359">
        <v>2</v>
      </c>
      <c r="B39" s="1272" t="s">
        <v>1304</v>
      </c>
      <c r="C39" s="1281">
        <v>5.8369300000000006E-2</v>
      </c>
      <c r="D39" s="1281">
        <f t="shared" ref="D39:G49" si="3">C39</f>
        <v>5.8369300000000006E-2</v>
      </c>
      <c r="E39" s="1281">
        <f t="shared" si="3"/>
        <v>5.8369300000000006E-2</v>
      </c>
      <c r="F39" s="1281">
        <f t="shared" si="3"/>
        <v>5.8369300000000006E-2</v>
      </c>
      <c r="G39" s="1362">
        <f t="shared" si="3"/>
        <v>5.8369300000000006E-2</v>
      </c>
    </row>
    <row r="40" spans="1:7" ht="18" customHeight="1">
      <c r="A40" s="1359">
        <v>3</v>
      </c>
      <c r="B40" s="1272" t="s">
        <v>1305</v>
      </c>
      <c r="C40" s="1281">
        <v>0</v>
      </c>
      <c r="D40" s="1281">
        <f t="shared" si="3"/>
        <v>0</v>
      </c>
      <c r="E40" s="1281">
        <f t="shared" si="3"/>
        <v>0</v>
      </c>
      <c r="F40" s="1281">
        <f t="shared" si="3"/>
        <v>0</v>
      </c>
      <c r="G40" s="1362">
        <f t="shared" si="3"/>
        <v>0</v>
      </c>
    </row>
    <row r="41" spans="1:7" ht="18" customHeight="1">
      <c r="A41" s="1359">
        <v>4</v>
      </c>
      <c r="B41" s="1272" t="s">
        <v>1306</v>
      </c>
      <c r="C41" s="1281">
        <v>0</v>
      </c>
      <c r="D41" s="1281">
        <f t="shared" si="3"/>
        <v>0</v>
      </c>
      <c r="E41" s="1281">
        <f t="shared" si="3"/>
        <v>0</v>
      </c>
      <c r="F41" s="1281">
        <f t="shared" si="3"/>
        <v>0</v>
      </c>
      <c r="G41" s="1362">
        <f t="shared" si="3"/>
        <v>0</v>
      </c>
    </row>
    <row r="42" spans="1:7" ht="18" customHeight="1">
      <c r="A42" s="1359">
        <v>5</v>
      </c>
      <c r="B42" s="1272" t="s">
        <v>1307</v>
      </c>
      <c r="C42" s="1281">
        <v>0</v>
      </c>
      <c r="D42" s="1281">
        <f t="shared" si="3"/>
        <v>0</v>
      </c>
      <c r="E42" s="1281">
        <f t="shared" si="3"/>
        <v>0</v>
      </c>
      <c r="F42" s="1281">
        <f t="shared" si="3"/>
        <v>0</v>
      </c>
      <c r="G42" s="1362">
        <f t="shared" si="3"/>
        <v>0</v>
      </c>
    </row>
    <row r="43" spans="1:7" ht="18" customHeight="1">
      <c r="A43" s="1359">
        <v>6</v>
      </c>
      <c r="B43" s="1272" t="s">
        <v>1308</v>
      </c>
      <c r="C43" s="1281">
        <v>1.3294999999999999</v>
      </c>
      <c r="D43" s="1281">
        <f t="shared" si="3"/>
        <v>1.3294999999999999</v>
      </c>
      <c r="E43" s="1281">
        <f t="shared" si="3"/>
        <v>1.3294999999999999</v>
      </c>
      <c r="F43" s="1281">
        <f t="shared" si="3"/>
        <v>1.3294999999999999</v>
      </c>
      <c r="G43" s="1362">
        <f t="shared" si="3"/>
        <v>1.3294999999999999</v>
      </c>
    </row>
    <row r="44" spans="1:7" ht="18" customHeight="1">
      <c r="A44" s="1359">
        <v>7</v>
      </c>
      <c r="B44" s="1272" t="s">
        <v>1309</v>
      </c>
      <c r="C44" s="1281">
        <v>35.405160000000002</v>
      </c>
      <c r="D44" s="1281">
        <f t="shared" si="3"/>
        <v>35.405160000000002</v>
      </c>
      <c r="E44" s="1281">
        <f t="shared" si="3"/>
        <v>35.405160000000002</v>
      </c>
      <c r="F44" s="1281">
        <f t="shared" si="3"/>
        <v>35.405160000000002</v>
      </c>
      <c r="G44" s="1362">
        <f t="shared" si="3"/>
        <v>35.405160000000002</v>
      </c>
    </row>
    <row r="45" spans="1:7" ht="18" customHeight="1">
      <c r="A45" s="1359">
        <v>8</v>
      </c>
      <c r="B45" s="1272" t="s">
        <v>1310</v>
      </c>
      <c r="C45" s="1281">
        <v>0</v>
      </c>
      <c r="D45" s="1281">
        <f t="shared" si="3"/>
        <v>0</v>
      </c>
      <c r="E45" s="1281">
        <f t="shared" si="3"/>
        <v>0</v>
      </c>
      <c r="F45" s="1281">
        <f t="shared" si="3"/>
        <v>0</v>
      </c>
      <c r="G45" s="1362">
        <f t="shared" si="3"/>
        <v>0</v>
      </c>
    </row>
    <row r="46" spans="1:7" ht="18" customHeight="1">
      <c r="A46" s="1359">
        <v>9</v>
      </c>
      <c r="B46" s="1272" t="s">
        <v>1311</v>
      </c>
      <c r="C46" s="1281">
        <v>0</v>
      </c>
      <c r="D46" s="1281">
        <f t="shared" si="3"/>
        <v>0</v>
      </c>
      <c r="E46" s="1281">
        <f t="shared" si="3"/>
        <v>0</v>
      </c>
      <c r="F46" s="1281">
        <f t="shared" si="3"/>
        <v>0</v>
      </c>
      <c r="G46" s="1362">
        <f t="shared" si="3"/>
        <v>0</v>
      </c>
    </row>
    <row r="47" spans="1:7" ht="18" customHeight="1">
      <c r="A47" s="1359">
        <v>10</v>
      </c>
      <c r="B47" s="1272" t="s">
        <v>1312</v>
      </c>
      <c r="C47" s="1281">
        <v>0</v>
      </c>
      <c r="D47" s="1281">
        <f t="shared" si="3"/>
        <v>0</v>
      </c>
      <c r="E47" s="1281">
        <f t="shared" si="3"/>
        <v>0</v>
      </c>
      <c r="F47" s="1281">
        <f t="shared" si="3"/>
        <v>0</v>
      </c>
      <c r="G47" s="1362">
        <f t="shared" si="3"/>
        <v>0</v>
      </c>
    </row>
    <row r="48" spans="1:7" ht="18" customHeight="1">
      <c r="A48" s="1359">
        <v>11</v>
      </c>
      <c r="B48" s="1272" t="s">
        <v>1313</v>
      </c>
      <c r="C48" s="1281">
        <v>0</v>
      </c>
      <c r="D48" s="1281">
        <f t="shared" si="3"/>
        <v>0</v>
      </c>
      <c r="E48" s="1281">
        <f t="shared" si="3"/>
        <v>0</v>
      </c>
      <c r="F48" s="1281">
        <f t="shared" si="3"/>
        <v>0</v>
      </c>
      <c r="G48" s="1362">
        <f t="shared" si="3"/>
        <v>0</v>
      </c>
    </row>
    <row r="49" spans="1:13" ht="18" customHeight="1">
      <c r="A49" s="1359">
        <v>12</v>
      </c>
      <c r="B49" s="1272" t="s">
        <v>1314</v>
      </c>
      <c r="C49" s="1281">
        <v>0</v>
      </c>
      <c r="D49" s="1281">
        <f t="shared" si="3"/>
        <v>0</v>
      </c>
      <c r="E49" s="1281">
        <f t="shared" si="3"/>
        <v>0</v>
      </c>
      <c r="F49" s="1281">
        <f t="shared" si="3"/>
        <v>0</v>
      </c>
      <c r="G49" s="1362">
        <f t="shared" si="3"/>
        <v>0</v>
      </c>
    </row>
    <row r="50" spans="1:13" ht="18" customHeight="1">
      <c r="A50" s="1359"/>
      <c r="B50" s="1279" t="s">
        <v>1353</v>
      </c>
      <c r="C50" s="1282">
        <f>SUM(C38:C49)</f>
        <v>36.793029300000001</v>
      </c>
      <c r="D50" s="1282">
        <f t="shared" ref="D50:G50" si="4">SUM(D38:D49)</f>
        <v>36.793029300000001</v>
      </c>
      <c r="E50" s="1282">
        <f t="shared" si="4"/>
        <v>36.793029300000001</v>
      </c>
      <c r="F50" s="1282">
        <f t="shared" si="4"/>
        <v>36.793029300000001</v>
      </c>
      <c r="G50" s="1363">
        <f t="shared" si="4"/>
        <v>36.793029300000001</v>
      </c>
    </row>
    <row r="51" spans="1:13" ht="18" customHeight="1">
      <c r="A51" s="1349"/>
      <c r="B51" s="1261"/>
      <c r="C51" s="1281"/>
      <c r="D51" s="1281"/>
      <c r="E51" s="1281"/>
      <c r="F51" s="1281"/>
      <c r="G51" s="1362"/>
    </row>
    <row r="52" spans="1:13" ht="37.9" customHeight="1">
      <c r="A52" s="1365" t="s">
        <v>1235</v>
      </c>
      <c r="B52" s="1270" t="s">
        <v>1389</v>
      </c>
      <c r="C52" s="1280">
        <f ca="1">C35-C50</f>
        <v>438499.52606936177</v>
      </c>
      <c r="D52" s="1280">
        <f t="shared" ref="D52:G52" ca="1" si="5">D35-D50</f>
        <v>465383.96403038636</v>
      </c>
      <c r="E52" s="1280">
        <f t="shared" ca="1" si="5"/>
        <v>501243.88494455529</v>
      </c>
      <c r="F52" s="1280">
        <f t="shared" ca="1" si="5"/>
        <v>546640.61152627808</v>
      </c>
      <c r="G52" s="1361">
        <f t="shared" ca="1" si="5"/>
        <v>590744.52032870194</v>
      </c>
      <c r="I52" s="1248">
        <f ca="1">D52/C52</f>
        <v>1.0613100730165259</v>
      </c>
      <c r="J52" s="1248">
        <f t="shared" ref="J52:M52" ca="1" si="6">E52/D52</f>
        <v>1.077054483363822</v>
      </c>
      <c r="K52" s="1248">
        <f t="shared" ca="1" si="6"/>
        <v>1.09056814047067</v>
      </c>
      <c r="L52" s="1248">
        <f t="shared" ca="1" si="6"/>
        <v>1.0806817273954108</v>
      </c>
      <c r="M52" s="1248">
        <f t="shared" ca="1" si="6"/>
        <v>0</v>
      </c>
    </row>
    <row r="53" spans="1:13" ht="18" customHeight="1">
      <c r="A53" s="1365" t="s">
        <v>1236</v>
      </c>
      <c r="B53" s="1270" t="s">
        <v>1337</v>
      </c>
      <c r="C53" s="1448">
        <f>'FUEL COST'!F13</f>
        <v>8929.6546531884724</v>
      </c>
      <c r="D53" s="1448">
        <f>'FUEL COST'!G13</f>
        <v>8905.2566896551707</v>
      </c>
      <c r="E53" s="1448">
        <f>'FUEL COST'!H13</f>
        <v>8873.44956632912</v>
      </c>
      <c r="F53" s="1448">
        <f>'FUEL COST'!I13</f>
        <v>8761.6235172413781</v>
      </c>
      <c r="G53" s="1449">
        <f>'FUEL COST'!J13</f>
        <v>8785.6279652338217</v>
      </c>
    </row>
    <row r="54" spans="1:13" ht="18" customHeight="1">
      <c r="A54" s="1365" t="s">
        <v>1237</v>
      </c>
      <c r="B54" s="1270" t="s">
        <v>1371</v>
      </c>
      <c r="C54" s="1280">
        <f ca="1">C52/(C53*10)</f>
        <v>4.9105989324322712</v>
      </c>
      <c r="D54" s="1280">
        <f t="shared" ref="D54:G54" ca="1" si="7">D52/(D53*10)</f>
        <v>5.2259466543058952</v>
      </c>
      <c r="E54" s="1280">
        <f t="shared" ca="1" si="7"/>
        <v>5.6488052498383237</v>
      </c>
      <c r="F54" s="1280">
        <f t="shared" ca="1" si="7"/>
        <v>6.2390333304162491</v>
      </c>
      <c r="G54" s="1361">
        <f t="shared" ca="1" si="7"/>
        <v>6.723987433412562</v>
      </c>
    </row>
    <row r="55" spans="1:13" ht="18" customHeight="1">
      <c r="A55" s="1344"/>
      <c r="B55" s="1260"/>
      <c r="C55" s="1260"/>
      <c r="D55" s="1260"/>
      <c r="E55" s="1260"/>
      <c r="F55" s="1260"/>
      <c r="G55" s="1366"/>
    </row>
    <row r="56" spans="1:13" ht="76.900000000000006" customHeight="1">
      <c r="A56" s="1344"/>
      <c r="B56" s="1469" t="s">
        <v>1390</v>
      </c>
      <c r="C56" s="1469"/>
      <c r="D56" s="1469"/>
      <c r="E56" s="1469"/>
      <c r="F56" s="1469"/>
      <c r="G56" s="1470"/>
    </row>
    <row r="57" spans="1:13" ht="18" customHeight="1">
      <c r="A57" s="1344"/>
      <c r="B57" s="1260"/>
      <c r="C57" s="1260"/>
      <c r="D57" s="1260"/>
      <c r="E57" s="1260"/>
      <c r="F57" s="1260"/>
      <c r="G57" s="1366"/>
    </row>
    <row r="58" spans="1:13" ht="18" customHeight="1">
      <c r="A58" s="1344"/>
      <c r="B58" s="1260"/>
      <c r="C58" s="1260"/>
      <c r="D58" s="1260"/>
      <c r="E58" s="1260"/>
      <c r="F58" s="1260"/>
      <c r="G58" s="1366"/>
    </row>
    <row r="59" spans="1:13" ht="18" customHeight="1">
      <c r="A59" s="1344"/>
      <c r="B59" s="1260"/>
      <c r="C59" s="1260"/>
      <c r="D59" s="1260"/>
      <c r="E59" s="1260"/>
      <c r="F59" s="1260"/>
      <c r="G59" s="1366"/>
    </row>
    <row r="60" spans="1:13" ht="18" customHeight="1">
      <c r="A60" s="1344"/>
      <c r="B60" s="1260"/>
      <c r="C60" s="1260"/>
      <c r="D60" s="1260"/>
      <c r="E60" s="1260"/>
      <c r="F60" s="1260"/>
      <c r="G60" s="1366"/>
    </row>
    <row r="61" spans="1:13" ht="18" customHeight="1">
      <c r="A61" s="1344"/>
      <c r="B61" s="1260"/>
      <c r="C61" s="1260"/>
      <c r="D61" s="1260"/>
      <c r="E61" s="1260"/>
      <c r="F61" s="1260" t="s">
        <v>1281</v>
      </c>
      <c r="G61" s="1366"/>
    </row>
    <row r="62" spans="1:13" ht="18" customHeight="1">
      <c r="A62" s="1344"/>
      <c r="B62" s="1260"/>
      <c r="C62" s="1260"/>
      <c r="D62" s="1260"/>
      <c r="E62" s="1260"/>
      <c r="F62" s="1260"/>
      <c r="G62" s="1366"/>
    </row>
    <row r="63" spans="1:13" ht="18" customHeight="1" thickBot="1">
      <c r="A63" s="1355"/>
      <c r="B63" s="1367"/>
      <c r="C63" s="1367"/>
      <c r="D63" s="1367"/>
      <c r="E63" s="1367"/>
      <c r="F63" s="1367"/>
      <c r="G63" s="1368"/>
    </row>
    <row r="64" spans="1:13" ht="18" customHeight="1">
      <c r="B64" s="1260"/>
      <c r="C64" s="1260"/>
      <c r="D64" s="1260"/>
      <c r="E64" s="1260"/>
      <c r="F64" s="1260"/>
      <c r="G64" s="1260"/>
    </row>
    <row r="65" spans="2:7" ht="18" customHeight="1">
      <c r="B65" s="1260"/>
      <c r="C65" s="1260"/>
      <c r="D65" s="1260"/>
      <c r="E65" s="1260"/>
      <c r="F65" s="1260"/>
      <c r="G65" s="1260"/>
    </row>
    <row r="66" spans="2:7" ht="18" customHeight="1">
      <c r="B66" s="1260"/>
      <c r="C66" s="1260"/>
      <c r="D66" s="1260"/>
      <c r="E66" s="1260"/>
      <c r="F66" s="1260"/>
      <c r="G66" s="1260"/>
    </row>
    <row r="67" spans="2:7" ht="18" customHeight="1">
      <c r="B67" s="1260"/>
      <c r="C67" s="1260"/>
      <c r="D67" s="1260"/>
      <c r="E67" s="1260"/>
      <c r="F67" s="1260"/>
      <c r="G67" s="1260"/>
    </row>
    <row r="68" spans="2:7" ht="18" customHeight="1">
      <c r="B68" s="1260"/>
      <c r="C68" s="1260"/>
      <c r="D68" s="1260"/>
      <c r="E68" s="1260"/>
      <c r="F68" s="1260"/>
      <c r="G68" s="1260"/>
    </row>
    <row r="69" spans="2:7" ht="18" customHeight="1">
      <c r="B69" s="1260"/>
      <c r="C69" s="1260"/>
      <c r="D69" s="1260"/>
      <c r="E69" s="1260"/>
      <c r="F69" s="1260"/>
      <c r="G69" s="1260"/>
    </row>
    <row r="70" spans="2:7" ht="18" customHeight="1">
      <c r="B70" s="1260"/>
      <c r="C70" s="1260"/>
      <c r="D70" s="1260"/>
      <c r="E70" s="1260"/>
      <c r="F70" s="1260"/>
      <c r="G70" s="1260"/>
    </row>
    <row r="71" spans="2:7" ht="18" customHeight="1">
      <c r="B71" s="1260"/>
      <c r="C71" s="1260"/>
      <c r="D71" s="1260"/>
      <c r="E71" s="1260"/>
      <c r="F71" s="1260"/>
      <c r="G71" s="1260"/>
    </row>
    <row r="72" spans="2:7" ht="18" customHeight="1">
      <c r="B72" s="1260"/>
      <c r="C72" s="1260"/>
      <c r="D72" s="1260"/>
      <c r="E72" s="1260"/>
      <c r="F72" s="1260"/>
      <c r="G72" s="1260"/>
    </row>
    <row r="73" spans="2:7" ht="18" customHeight="1">
      <c r="B73" s="1260"/>
      <c r="C73" s="1260"/>
      <c r="D73" s="1260"/>
      <c r="E73" s="1260"/>
      <c r="F73" s="1260"/>
      <c r="G73" s="1260"/>
    </row>
    <row r="74" spans="2:7" ht="18" customHeight="1">
      <c r="B74" s="1265"/>
      <c r="C74" s="1265"/>
      <c r="D74" s="1265"/>
      <c r="E74" s="1265"/>
      <c r="F74" s="1265"/>
      <c r="G74" s="1265"/>
    </row>
    <row r="75" spans="2:7" ht="18" customHeight="1">
      <c r="B75" s="1260"/>
      <c r="C75" s="1260"/>
      <c r="D75" s="1260"/>
      <c r="E75" s="1260"/>
      <c r="F75" s="1260"/>
      <c r="G75" s="1260"/>
    </row>
    <row r="76" spans="2:7" ht="18" customHeight="1">
      <c r="B76" s="1260"/>
      <c r="C76" s="1260"/>
      <c r="D76" s="1260"/>
      <c r="E76" s="1260"/>
      <c r="F76" s="1260"/>
      <c r="G76" s="1260"/>
    </row>
    <row r="77" spans="2:7" ht="18" customHeight="1">
      <c r="B77" s="1260"/>
      <c r="C77" s="1260"/>
      <c r="D77" s="1260"/>
      <c r="E77" s="1260"/>
      <c r="F77" s="1260"/>
      <c r="G77" s="1260"/>
    </row>
    <row r="78" spans="2:7" ht="18" customHeight="1">
      <c r="B78" s="1260"/>
      <c r="C78" s="1260"/>
      <c r="D78" s="1260"/>
      <c r="E78" s="1260"/>
      <c r="F78" s="1260"/>
      <c r="G78" s="1260"/>
    </row>
    <row r="79" spans="2:7" ht="18" customHeight="1">
      <c r="B79" s="1260"/>
      <c r="C79" s="1260"/>
      <c r="D79" s="1260"/>
      <c r="E79" s="1260"/>
      <c r="F79" s="1260"/>
      <c r="G79" s="1260"/>
    </row>
    <row r="80" spans="2:7" ht="18" customHeight="1">
      <c r="B80" s="1260"/>
      <c r="C80" s="1260"/>
      <c r="D80" s="1260"/>
      <c r="E80" s="1260"/>
      <c r="F80" s="1260"/>
      <c r="G80" s="1260"/>
    </row>
    <row r="81" spans="2:7" ht="54" customHeight="1">
      <c r="B81" s="1468"/>
      <c r="C81" s="1468"/>
      <c r="D81" s="1468"/>
      <c r="E81" s="1468"/>
      <c r="F81" s="1468"/>
      <c r="G81" s="1468"/>
    </row>
    <row r="84" spans="2:7" ht="18" customHeight="1">
      <c r="G84" s="1263" t="s">
        <v>1281</v>
      </c>
    </row>
  </sheetData>
  <mergeCells count="3">
    <mergeCell ref="B81:G81"/>
    <mergeCell ref="B56:G56"/>
    <mergeCell ref="C9:G9"/>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sheetPr>
    <tabColor theme="9" tint="-0.249977111117893"/>
  </sheetPr>
  <dimension ref="A1:K57"/>
  <sheetViews>
    <sheetView topLeftCell="A10" workbookViewId="0">
      <selection activeCell="I17" sqref="I17"/>
    </sheetView>
  </sheetViews>
  <sheetFormatPr defaultRowHeight="12.75"/>
  <cols>
    <col min="1" max="1" width="6.1640625" customWidth="1"/>
    <col min="2" max="2" width="33.5" customWidth="1"/>
    <col min="3" max="3" width="40.83203125" customWidth="1"/>
    <col min="4" max="4" width="28.5" customWidth="1"/>
    <col min="5" max="5" width="17" customWidth="1"/>
  </cols>
  <sheetData>
    <row r="1" spans="1:11" ht="16.5" customHeight="1">
      <c r="A1" s="268"/>
      <c r="B1" s="269"/>
      <c r="C1" s="270"/>
      <c r="D1" s="269"/>
      <c r="E1" s="271" t="s">
        <v>277</v>
      </c>
    </row>
    <row r="2" spans="1:11" ht="15.75" customHeight="1">
      <c r="A2" s="243"/>
      <c r="E2" s="272" t="s">
        <v>278</v>
      </c>
    </row>
    <row r="3" spans="1:11" ht="16.5" customHeight="1">
      <c r="A3" s="243"/>
      <c r="C3" s="37" t="s">
        <v>279</v>
      </c>
      <c r="E3" s="244"/>
    </row>
    <row r="4" spans="1:11" ht="16.5" customHeight="1">
      <c r="A4" s="243"/>
      <c r="C4" s="37"/>
      <c r="E4" s="244"/>
    </row>
    <row r="5" spans="1:11" ht="16.5" customHeight="1">
      <c r="A5" s="273" t="s">
        <v>306</v>
      </c>
      <c r="C5" s="266" t="str">
        <f>'Form 3'!D5</f>
        <v>The Singareni Collieries Company Ltd</v>
      </c>
      <c r="E5" s="244"/>
    </row>
    <row r="6" spans="1:11" ht="16.5" customHeight="1">
      <c r="A6" s="273" t="s">
        <v>307</v>
      </c>
      <c r="C6" s="266" t="str">
        <f>'Form 3'!D6</f>
        <v>Singareni Thermal Power Project</v>
      </c>
      <c r="E6" s="244"/>
    </row>
    <row r="7" spans="1:11" ht="16.5" customHeight="1">
      <c r="A7" s="273"/>
      <c r="E7" s="244"/>
    </row>
    <row r="8" spans="1:11" ht="16.5" customHeight="1">
      <c r="A8" s="274" t="s">
        <v>280</v>
      </c>
      <c r="E8" s="244"/>
    </row>
    <row r="9" spans="1:11" ht="87.75" customHeight="1">
      <c r="A9" s="275" t="s">
        <v>281</v>
      </c>
      <c r="B9" s="265" t="s">
        <v>579</v>
      </c>
      <c r="C9" s="265" t="s">
        <v>580</v>
      </c>
      <c r="D9" s="13" t="s">
        <v>282</v>
      </c>
      <c r="E9" s="276" t="s">
        <v>283</v>
      </c>
      <c r="K9" s="168" t="s">
        <v>386</v>
      </c>
    </row>
    <row r="10" spans="1:11" ht="33" customHeight="1">
      <c r="A10" s="275"/>
      <c r="B10" s="258">
        <v>1</v>
      </c>
      <c r="C10" s="258"/>
      <c r="D10" s="38">
        <v>3</v>
      </c>
      <c r="E10" s="277" t="s">
        <v>284</v>
      </c>
    </row>
    <row r="11" spans="1:11" ht="34.5" customHeight="1">
      <c r="A11" s="278"/>
      <c r="B11" s="264" t="s">
        <v>582</v>
      </c>
      <c r="C11" s="264" t="s">
        <v>581</v>
      </c>
      <c r="D11" s="2"/>
      <c r="E11" s="251"/>
    </row>
    <row r="12" spans="1:11" ht="16.5" customHeight="1">
      <c r="A12" s="278">
        <v>1</v>
      </c>
      <c r="B12" s="409" t="s">
        <v>796</v>
      </c>
      <c r="C12" s="432">
        <v>589514850.63</v>
      </c>
      <c r="D12" s="433">
        <v>0</v>
      </c>
      <c r="E12" s="434">
        <f>C12*D12</f>
        <v>0</v>
      </c>
    </row>
    <row r="13" spans="1:11" ht="16.5" customHeight="1">
      <c r="A13" s="278">
        <v>2</v>
      </c>
      <c r="B13" s="409" t="s">
        <v>797</v>
      </c>
      <c r="C13" s="432">
        <v>5107257999.6700001</v>
      </c>
      <c r="D13" s="435">
        <v>3.3399999999999999E-2</v>
      </c>
      <c r="E13" s="434">
        <f t="shared" ref="E13:E19" si="0">C13*D13</f>
        <v>170582417.18897799</v>
      </c>
    </row>
    <row r="14" spans="1:11" ht="16.5" customHeight="1">
      <c r="A14" s="278">
        <v>3</v>
      </c>
      <c r="B14" s="409" t="s">
        <v>798</v>
      </c>
      <c r="C14" s="432">
        <v>97147844.620000005</v>
      </c>
      <c r="D14" s="435">
        <v>3.3399999999999999E-2</v>
      </c>
      <c r="E14" s="434">
        <f t="shared" si="0"/>
        <v>3244738.0103080003</v>
      </c>
    </row>
    <row r="15" spans="1:11" ht="16.5" customHeight="1">
      <c r="A15" s="278">
        <v>4</v>
      </c>
      <c r="B15" s="409" t="s">
        <v>799</v>
      </c>
      <c r="C15" s="432">
        <v>405885546.38</v>
      </c>
      <c r="D15" s="435">
        <v>3.3399999999999999E-2</v>
      </c>
      <c r="E15" s="434">
        <f t="shared" si="0"/>
        <v>13556577.249092</v>
      </c>
    </row>
    <row r="16" spans="1:11" ht="16.5" customHeight="1">
      <c r="A16" s="278">
        <v>5</v>
      </c>
      <c r="B16" s="409" t="s">
        <v>800</v>
      </c>
      <c r="C16" s="432">
        <v>65537810677.639999</v>
      </c>
      <c r="D16" s="435">
        <v>5.28E-2</v>
      </c>
      <c r="E16" s="434">
        <f t="shared" si="0"/>
        <v>3460396403.7793918</v>
      </c>
    </row>
    <row r="17" spans="1:5" ht="16.5" customHeight="1">
      <c r="A17" s="278">
        <v>6</v>
      </c>
      <c r="B17" s="409" t="s">
        <v>801</v>
      </c>
      <c r="C17" s="432">
        <v>8316426.46</v>
      </c>
      <c r="D17" s="435">
        <v>6.3299999999999995E-2</v>
      </c>
      <c r="E17" s="434">
        <f t="shared" si="0"/>
        <v>526429.794918</v>
      </c>
    </row>
    <row r="18" spans="1:5" ht="16.5" customHeight="1">
      <c r="A18" s="278">
        <v>7</v>
      </c>
      <c r="B18" s="409" t="s">
        <v>802</v>
      </c>
      <c r="C18" s="432">
        <v>1470694.87</v>
      </c>
      <c r="D18" s="436">
        <v>0.15</v>
      </c>
      <c r="E18" s="434">
        <f t="shared" si="0"/>
        <v>220604.23050000001</v>
      </c>
    </row>
    <row r="19" spans="1:5" ht="16.5" customHeight="1">
      <c r="A19" s="278">
        <v>8</v>
      </c>
      <c r="B19" s="409" t="s">
        <v>803</v>
      </c>
      <c r="C19" s="432">
        <v>416725.14</v>
      </c>
      <c r="D19" s="435">
        <v>6.3299999999999995E-2</v>
      </c>
      <c r="E19" s="434">
        <f t="shared" si="0"/>
        <v>26378.701362</v>
      </c>
    </row>
    <row r="20" spans="1:5" ht="16.5" customHeight="1">
      <c r="A20" s="278"/>
      <c r="B20" s="267" t="s">
        <v>458</v>
      </c>
      <c r="C20" s="437">
        <f>SUM(C12:C19)</f>
        <v>71747820765.410004</v>
      </c>
      <c r="D20" s="435">
        <f>E20/C20</f>
        <v>5.0852465064883709E-2</v>
      </c>
      <c r="E20" s="434">
        <f>SUM(E12:E19)</f>
        <v>3648553548.9545503</v>
      </c>
    </row>
    <row r="21" spans="1:5" ht="16.5" customHeight="1">
      <c r="A21" s="278"/>
      <c r="B21" s="267" t="s">
        <v>511</v>
      </c>
      <c r="C21" s="255"/>
      <c r="D21" s="2"/>
      <c r="E21" s="251"/>
    </row>
    <row r="22" spans="1:5" ht="16.5" customHeight="1">
      <c r="A22" s="278"/>
      <c r="B22" s="264" t="s">
        <v>583</v>
      </c>
      <c r="D22" s="2"/>
      <c r="E22" s="251"/>
    </row>
    <row r="23" spans="1:5" ht="16.5" customHeight="1">
      <c r="A23" s="278"/>
      <c r="B23" s="430"/>
      <c r="C23" s="264" t="s">
        <v>584</v>
      </c>
      <c r="D23" s="2"/>
      <c r="E23" s="251"/>
    </row>
    <row r="24" spans="1:5" ht="16.5" customHeight="1">
      <c r="A24" s="278">
        <v>1</v>
      </c>
      <c r="B24" s="409" t="s">
        <v>796</v>
      </c>
      <c r="C24" s="412">
        <v>589514850.63</v>
      </c>
      <c r="D24" s="261">
        <v>0</v>
      </c>
      <c r="E24" s="413">
        <f>C24*D24</f>
        <v>0</v>
      </c>
    </row>
    <row r="25" spans="1:5" ht="16.5" customHeight="1">
      <c r="A25" s="278">
        <v>2</v>
      </c>
      <c r="B25" s="409" t="s">
        <v>797</v>
      </c>
      <c r="C25" s="412">
        <v>5107257999.6700001</v>
      </c>
      <c r="D25" s="410">
        <v>3.3399999999999999E-2</v>
      </c>
      <c r="E25" s="413">
        <f t="shared" ref="E25:E31" si="1">C25*D25</f>
        <v>170582417.18897799</v>
      </c>
    </row>
    <row r="26" spans="1:5" ht="16.5" customHeight="1">
      <c r="A26" s="278">
        <v>3</v>
      </c>
      <c r="B26" s="409" t="s">
        <v>798</v>
      </c>
      <c r="C26" s="412">
        <v>97147844.620000005</v>
      </c>
      <c r="D26" s="410">
        <v>3.3399999999999999E-2</v>
      </c>
      <c r="E26" s="413">
        <f t="shared" si="1"/>
        <v>3244738.0103080003</v>
      </c>
    </row>
    <row r="27" spans="1:5" ht="16.5" customHeight="1">
      <c r="A27" s="278">
        <v>4</v>
      </c>
      <c r="B27" s="409" t="s">
        <v>799</v>
      </c>
      <c r="C27" s="412">
        <v>405885546.38</v>
      </c>
      <c r="D27" s="410">
        <v>3.3399999999999999E-2</v>
      </c>
      <c r="E27" s="413">
        <f t="shared" si="1"/>
        <v>13556577.249092</v>
      </c>
    </row>
    <row r="28" spans="1:5" ht="16.5" customHeight="1">
      <c r="A28" s="278">
        <v>5</v>
      </c>
      <c r="B28" s="409" t="s">
        <v>800</v>
      </c>
      <c r="C28" s="412">
        <v>65537810677.639999</v>
      </c>
      <c r="D28" s="410">
        <v>5.28E-2</v>
      </c>
      <c r="E28" s="413">
        <f t="shared" si="1"/>
        <v>3460396403.7793918</v>
      </c>
    </row>
    <row r="29" spans="1:5" ht="16.5" customHeight="1">
      <c r="A29" s="278">
        <v>6</v>
      </c>
      <c r="B29" s="409" t="s">
        <v>801</v>
      </c>
      <c r="C29" s="412">
        <v>8316426.46</v>
      </c>
      <c r="D29" s="410">
        <v>6.3299999999999995E-2</v>
      </c>
      <c r="E29" s="413">
        <f t="shared" si="1"/>
        <v>526429.794918</v>
      </c>
    </row>
    <row r="30" spans="1:5" ht="16.5" customHeight="1">
      <c r="A30" s="278">
        <v>7</v>
      </c>
      <c r="B30" s="409" t="s">
        <v>802</v>
      </c>
      <c r="C30" s="412">
        <v>1470694.87</v>
      </c>
      <c r="D30" s="411">
        <v>0.15</v>
      </c>
      <c r="E30" s="413">
        <f t="shared" si="1"/>
        <v>220604.23050000001</v>
      </c>
    </row>
    <row r="31" spans="1:5" ht="16.5" customHeight="1">
      <c r="A31" s="278">
        <v>8</v>
      </c>
      <c r="B31" s="409" t="s">
        <v>803</v>
      </c>
      <c r="C31" s="412">
        <v>416725.14</v>
      </c>
      <c r="D31" s="410">
        <v>6.3299999999999995E-2</v>
      </c>
      <c r="E31" s="413">
        <f t="shared" si="1"/>
        <v>26378.701362</v>
      </c>
    </row>
    <row r="32" spans="1:5" ht="16.5" customHeight="1">
      <c r="A32" s="278"/>
      <c r="B32" s="267" t="s">
        <v>458</v>
      </c>
      <c r="C32" s="414">
        <f>SUM(C24:C31)</f>
        <v>71747820765.410004</v>
      </c>
      <c r="D32" s="410">
        <f>E32/C32</f>
        <v>5.0852465064883709E-2</v>
      </c>
      <c r="E32" s="413">
        <f>SUM(E24:E31)</f>
        <v>3648553548.9545503</v>
      </c>
    </row>
    <row r="33" spans="1:5" ht="16.5" customHeight="1">
      <c r="A33" s="278"/>
      <c r="B33" s="267"/>
      <c r="C33" s="414"/>
      <c r="D33" s="410"/>
      <c r="E33" s="413"/>
    </row>
    <row r="34" spans="1:5" ht="16.5" customHeight="1">
      <c r="A34" s="278"/>
      <c r="B34" s="267"/>
      <c r="C34" s="414"/>
      <c r="D34" s="410"/>
      <c r="E34" s="413"/>
    </row>
    <row r="35" spans="1:5" ht="16.5" customHeight="1">
      <c r="A35" s="278"/>
      <c r="B35" s="264"/>
      <c r="C35" s="264" t="s">
        <v>806</v>
      </c>
      <c r="D35" s="410"/>
      <c r="E35" s="413"/>
    </row>
    <row r="36" spans="1:5" ht="16.5" customHeight="1">
      <c r="A36" s="278"/>
      <c r="B36" s="267"/>
      <c r="C36" s="414"/>
      <c r="D36" s="410"/>
      <c r="E36" s="413"/>
    </row>
    <row r="37" spans="1:5" ht="16.5" customHeight="1">
      <c r="A37" s="278">
        <v>1</v>
      </c>
      <c r="B37" s="267" t="s">
        <v>796</v>
      </c>
      <c r="C37" s="414">
        <v>589514850.63</v>
      </c>
      <c r="D37" s="410">
        <v>0</v>
      </c>
      <c r="E37" s="413">
        <f>C37*D37</f>
        <v>0</v>
      </c>
    </row>
    <row r="38" spans="1:5" ht="16.5" customHeight="1">
      <c r="A38" s="278">
        <v>2</v>
      </c>
      <c r="B38" s="267" t="s">
        <v>797</v>
      </c>
      <c r="C38" s="414">
        <v>5480610650.6199999</v>
      </c>
      <c r="D38" s="410">
        <v>3.3399999999999999E-2</v>
      </c>
      <c r="E38" s="413">
        <f t="shared" ref="E38:E44" si="2">C38*D38</f>
        <v>183052395.730708</v>
      </c>
    </row>
    <row r="39" spans="1:5" ht="16.5" customHeight="1">
      <c r="A39" s="278">
        <v>3</v>
      </c>
      <c r="B39" s="267" t="s">
        <v>798</v>
      </c>
      <c r="C39" s="414">
        <v>97147844.620000005</v>
      </c>
      <c r="D39" s="410">
        <v>3.3399999999999999E-2</v>
      </c>
      <c r="E39" s="413">
        <f t="shared" si="2"/>
        <v>3244738.0103080003</v>
      </c>
    </row>
    <row r="40" spans="1:5" ht="16.5" customHeight="1">
      <c r="A40" s="278">
        <v>4</v>
      </c>
      <c r="B40" s="267" t="s">
        <v>799</v>
      </c>
      <c r="C40" s="414">
        <v>397783748.05000001</v>
      </c>
      <c r="D40" s="410">
        <v>3.3399999999999999E-2</v>
      </c>
      <c r="E40" s="413">
        <f t="shared" si="2"/>
        <v>13285977.184870001</v>
      </c>
    </row>
    <row r="41" spans="1:5" ht="16.5" customHeight="1">
      <c r="A41" s="278">
        <v>5</v>
      </c>
      <c r="B41" s="267" t="s">
        <v>800</v>
      </c>
      <c r="C41" s="414">
        <v>69278726044.479996</v>
      </c>
      <c r="D41" s="410">
        <v>5.28E-2</v>
      </c>
      <c r="E41" s="413">
        <f t="shared" si="2"/>
        <v>3657916735.1485438</v>
      </c>
    </row>
    <row r="42" spans="1:5" ht="16.5" customHeight="1">
      <c r="A42" s="278">
        <v>6</v>
      </c>
      <c r="B42" s="267" t="s">
        <v>801</v>
      </c>
      <c r="C42" s="414">
        <v>13847748.140000001</v>
      </c>
      <c r="D42" s="410">
        <v>6.3299999999999995E-2</v>
      </c>
      <c r="E42" s="413">
        <f t="shared" si="2"/>
        <v>876562.45726199995</v>
      </c>
    </row>
    <row r="43" spans="1:5" ht="16.5" customHeight="1">
      <c r="A43" s="278">
        <v>7</v>
      </c>
      <c r="B43" s="267" t="s">
        <v>802</v>
      </c>
      <c r="C43" s="414">
        <v>1470694.87</v>
      </c>
      <c r="D43" s="410">
        <v>0.15</v>
      </c>
      <c r="E43" s="413">
        <f t="shared" si="2"/>
        <v>220604.23050000001</v>
      </c>
    </row>
    <row r="44" spans="1:5" ht="16.5" customHeight="1">
      <c r="A44" s="278">
        <v>8</v>
      </c>
      <c r="B44" s="267" t="s">
        <v>803</v>
      </c>
      <c r="C44" s="414">
        <v>416725.14</v>
      </c>
      <c r="D44" s="410">
        <v>6.3299999999999995E-2</v>
      </c>
      <c r="E44" s="413">
        <f t="shared" si="2"/>
        <v>26378.701362</v>
      </c>
    </row>
    <row r="45" spans="1:5" ht="16.5" customHeight="1">
      <c r="A45" s="278"/>
      <c r="B45" s="267" t="s">
        <v>458</v>
      </c>
      <c r="C45" s="414">
        <f>SUM(C37:C44)</f>
        <v>75859518306.549988</v>
      </c>
      <c r="D45" s="410">
        <f>E45/C45</f>
        <v>5.0865382190680042E-2</v>
      </c>
      <c r="E45" s="413">
        <f>SUM(E37:E44)</f>
        <v>3858623391.4635544</v>
      </c>
    </row>
    <row r="46" spans="1:5" ht="16.5" customHeight="1">
      <c r="A46" s="278"/>
      <c r="B46" s="267"/>
      <c r="C46" s="414"/>
      <c r="D46" s="410"/>
      <c r="E46" s="413"/>
    </row>
    <row r="47" spans="1:5" ht="16.5" customHeight="1">
      <c r="A47" s="278"/>
      <c r="B47" s="1689" t="s">
        <v>808</v>
      </c>
      <c r="C47" s="1690"/>
      <c r="D47" s="410">
        <f>AVERAGE(D20,D32)</f>
        <v>5.0852465064883709E-2</v>
      </c>
      <c r="E47" s="413"/>
    </row>
    <row r="48" spans="1:5" ht="16.5" customHeight="1">
      <c r="A48" s="278"/>
      <c r="B48" s="1689" t="s">
        <v>807</v>
      </c>
      <c r="C48" s="1690"/>
      <c r="D48" s="431">
        <f>AVERAGE(D32,D45)</f>
        <v>5.0858923627781875E-2</v>
      </c>
      <c r="E48" s="413"/>
    </row>
    <row r="49" spans="1:5" ht="16.5" customHeight="1">
      <c r="A49" s="278"/>
      <c r="B49" s="267"/>
      <c r="C49" s="255"/>
      <c r="D49" s="2"/>
      <c r="E49" s="251"/>
    </row>
    <row r="50" spans="1:5" ht="16.5" customHeight="1">
      <c r="A50" s="250"/>
      <c r="B50" s="257"/>
      <c r="C50" s="257"/>
      <c r="D50" s="2"/>
      <c r="E50" s="251"/>
    </row>
    <row r="51" spans="1:5" ht="33" customHeight="1">
      <c r="A51" s="275"/>
      <c r="B51" s="256" t="s">
        <v>285</v>
      </c>
      <c r="C51" s="256"/>
      <c r="D51" s="4"/>
      <c r="E51" s="279"/>
    </row>
    <row r="52" spans="1:5" ht="44.25" customHeight="1">
      <c r="A52" s="1624" t="s">
        <v>286</v>
      </c>
      <c r="B52" s="1625"/>
      <c r="C52" s="1625"/>
      <c r="D52" s="1625"/>
      <c r="E52" s="1626"/>
    </row>
    <row r="53" spans="1:5" ht="16.5" customHeight="1">
      <c r="A53" s="243"/>
      <c r="E53" s="244"/>
    </row>
    <row r="54" spans="1:5" ht="12.95" customHeight="1">
      <c r="A54" s="280"/>
      <c r="E54" s="244"/>
    </row>
    <row r="55" spans="1:5">
      <c r="A55" s="243"/>
      <c r="E55" s="244"/>
    </row>
    <row r="56" spans="1:5" ht="14.25">
      <c r="A56" s="243"/>
      <c r="E56" s="281" t="s">
        <v>287</v>
      </c>
    </row>
    <row r="57" spans="1:5">
      <c r="A57" s="252"/>
      <c r="B57" s="253"/>
      <c r="C57" s="253"/>
      <c r="D57" s="253"/>
      <c r="E57" s="254"/>
    </row>
  </sheetData>
  <mergeCells count="3">
    <mergeCell ref="A52:E52"/>
    <mergeCell ref="B47:C47"/>
    <mergeCell ref="B48:C48"/>
  </mergeCells>
  <pageMargins left="0.7" right="0.7" top="0.75" bottom="0.75" header="0.3" footer="0.3"/>
  <pageSetup paperSize="9" orientation="portrait" horizontalDpi="4294967293" r:id="rId1"/>
</worksheet>
</file>

<file path=xl/worksheets/sheet21.xml><?xml version="1.0" encoding="utf-8"?>
<worksheet xmlns="http://schemas.openxmlformats.org/spreadsheetml/2006/main" xmlns:r="http://schemas.openxmlformats.org/officeDocument/2006/relationships">
  <sheetPr>
    <tabColor rgb="FF00B050"/>
    <pageSetUpPr fitToPage="1"/>
  </sheetPr>
  <dimension ref="A1:AE128"/>
  <sheetViews>
    <sheetView zoomScale="79" zoomScaleNormal="79" workbookViewId="0">
      <selection activeCell="I38" sqref="I38"/>
    </sheetView>
  </sheetViews>
  <sheetFormatPr defaultColWidth="9.33203125" defaultRowHeight="15"/>
  <cols>
    <col min="1" max="1" width="15.5" style="190" customWidth="1"/>
    <col min="2" max="2" width="24" style="190" customWidth="1"/>
    <col min="3" max="3" width="18" style="190" customWidth="1"/>
    <col min="4" max="4" width="19" style="190" customWidth="1"/>
    <col min="5" max="5" width="15.33203125" style="190" customWidth="1"/>
    <col min="6" max="6" width="26.83203125" style="190" customWidth="1"/>
    <col min="7" max="10" width="15.33203125" style="190" customWidth="1"/>
    <col min="11" max="11" width="17" style="190" customWidth="1"/>
    <col min="12" max="12" width="15.83203125" style="190" customWidth="1"/>
    <col min="13" max="13" width="16.83203125" style="190" customWidth="1"/>
    <col min="14" max="20" width="16" style="190" customWidth="1"/>
    <col min="21" max="16384" width="9.33203125" style="190"/>
  </cols>
  <sheetData>
    <row r="1" spans="1:31" ht="15.75" thickBot="1"/>
    <row r="2" spans="1:31">
      <c r="A2" s="194"/>
      <c r="B2" s="195"/>
      <c r="C2" s="195"/>
      <c r="D2" s="195"/>
      <c r="E2" s="195"/>
      <c r="F2" s="195"/>
      <c r="G2" s="195"/>
      <c r="H2" s="488"/>
      <c r="I2" s="170"/>
      <c r="J2" s="195"/>
      <c r="K2" s="195"/>
      <c r="L2" s="195"/>
      <c r="M2" s="195"/>
      <c r="N2" s="195"/>
      <c r="O2" s="195"/>
      <c r="P2" s="195"/>
      <c r="Q2" s="195"/>
      <c r="R2" s="195"/>
      <c r="S2" s="749" t="s">
        <v>277</v>
      </c>
      <c r="T2" s="372"/>
    </row>
    <row r="3" spans="1:31">
      <c r="A3" s="196"/>
      <c r="H3"/>
      <c r="I3"/>
      <c r="S3" s="750" t="s">
        <v>278</v>
      </c>
      <c r="T3" s="198"/>
    </row>
    <row r="4" spans="1:31">
      <c r="A4" s="196"/>
      <c r="H4" s="37"/>
      <c r="I4"/>
      <c r="J4"/>
      <c r="T4" s="198"/>
    </row>
    <row r="5" spans="1:31" ht="20.25" customHeight="1">
      <c r="A5" s="1694" t="s">
        <v>847</v>
      </c>
      <c r="B5" s="1695"/>
      <c r="C5" s="1695"/>
      <c r="D5" s="1695"/>
      <c r="E5" s="1695"/>
      <c r="F5" s="1695"/>
      <c r="G5" s="1695"/>
      <c r="H5" s="1695"/>
      <c r="I5" s="1695"/>
      <c r="J5" s="1695"/>
      <c r="K5" s="1695"/>
      <c r="L5" s="1695"/>
      <c r="M5" s="1695"/>
      <c r="N5" s="1695"/>
      <c r="O5" s="1695"/>
      <c r="P5" s="1695"/>
      <c r="Q5" s="1695"/>
      <c r="R5" s="1695"/>
      <c r="S5" s="1695"/>
      <c r="T5" s="1696"/>
    </row>
    <row r="6" spans="1:31">
      <c r="A6" s="208"/>
      <c r="B6" s="200"/>
      <c r="C6" s="200"/>
      <c r="D6" s="200"/>
      <c r="E6" s="200"/>
      <c r="F6" s="200"/>
      <c r="G6" s="200"/>
      <c r="H6" s="200"/>
      <c r="I6" s="200"/>
      <c r="J6" s="200"/>
      <c r="T6" s="198"/>
    </row>
    <row r="7" spans="1:31" ht="28.15" customHeight="1">
      <c r="A7" s="1575" t="s">
        <v>498</v>
      </c>
      <c r="B7" s="1576"/>
      <c r="C7" s="1698" t="s">
        <v>464</v>
      </c>
      <c r="D7" s="1698"/>
      <c r="E7" s="1698"/>
      <c r="F7" s="1698"/>
      <c r="G7" s="1698"/>
      <c r="H7" s="1698"/>
      <c r="I7" s="1698"/>
      <c r="J7" s="1698"/>
      <c r="T7" s="198"/>
    </row>
    <row r="8" spans="1:31" ht="16.899999999999999" customHeight="1">
      <c r="A8" s="1575" t="s">
        <v>499</v>
      </c>
      <c r="B8" s="1576"/>
      <c r="C8" s="1698" t="s">
        <v>461</v>
      </c>
      <c r="D8" s="1698"/>
      <c r="E8" s="1698"/>
      <c r="F8" s="1698"/>
      <c r="G8" s="1698"/>
      <c r="H8" s="1698"/>
      <c r="I8" s="1698"/>
      <c r="J8" s="1698"/>
      <c r="T8" s="198"/>
    </row>
    <row r="9" spans="1:31" ht="28.5" customHeight="1">
      <c r="A9" s="210"/>
      <c r="B9" s="192"/>
      <c r="C9" s="192"/>
      <c r="D9" s="335"/>
      <c r="E9" s="335"/>
      <c r="F9" s="335"/>
      <c r="G9" s="335"/>
      <c r="H9" s="335"/>
      <c r="I9" s="335"/>
      <c r="S9" s="1692" t="s">
        <v>995</v>
      </c>
      <c r="T9" s="1693"/>
      <c r="U9" s="196"/>
    </row>
    <row r="10" spans="1:31" ht="31.15" customHeight="1">
      <c r="A10" s="1571" t="s">
        <v>417</v>
      </c>
      <c r="B10" s="1699" t="s">
        <v>500</v>
      </c>
      <c r="C10" s="1579" t="s">
        <v>848</v>
      </c>
      <c r="D10" s="1579" t="s">
        <v>815</v>
      </c>
      <c r="E10" s="1579" t="s">
        <v>837</v>
      </c>
      <c r="F10" s="1700" t="s">
        <v>844</v>
      </c>
      <c r="G10" s="1579" t="s">
        <v>838</v>
      </c>
      <c r="H10" s="1700" t="s">
        <v>845</v>
      </c>
      <c r="I10" s="1579" t="s">
        <v>843</v>
      </c>
      <c r="J10" s="1702" t="s">
        <v>846</v>
      </c>
      <c r="K10" s="1520" t="s">
        <v>1039</v>
      </c>
      <c r="L10" s="1703" t="s">
        <v>1248</v>
      </c>
      <c r="M10" s="1520" t="s">
        <v>1040</v>
      </c>
      <c r="N10" s="1703" t="s">
        <v>1249</v>
      </c>
      <c r="O10" s="1520" t="s">
        <v>1041</v>
      </c>
      <c r="P10" s="1703" t="s">
        <v>1250</v>
      </c>
      <c r="Q10" s="1520" t="s">
        <v>1042</v>
      </c>
      <c r="R10" s="1703" t="s">
        <v>1251</v>
      </c>
      <c r="S10" s="1520" t="s">
        <v>1043</v>
      </c>
      <c r="T10" s="1705" t="s">
        <v>1252</v>
      </c>
    </row>
    <row r="11" spans="1:31" ht="60">
      <c r="A11" s="1571"/>
      <c r="B11" s="1699"/>
      <c r="C11" s="1580"/>
      <c r="D11" s="1580"/>
      <c r="E11" s="1580"/>
      <c r="F11" s="1701"/>
      <c r="G11" s="1580"/>
      <c r="H11" s="1701"/>
      <c r="I11" s="1580"/>
      <c r="J11" s="1702"/>
      <c r="K11" s="1520"/>
      <c r="L11" s="1704"/>
      <c r="M11" s="1520"/>
      <c r="N11" s="1704"/>
      <c r="O11" s="1520"/>
      <c r="P11" s="1704"/>
      <c r="Q11" s="1520"/>
      <c r="R11" s="1704"/>
      <c r="S11" s="1520"/>
      <c r="T11" s="1706"/>
      <c r="AD11" s="190" t="s">
        <v>798</v>
      </c>
      <c r="AE11" s="479">
        <v>3.3399999999999999E-2</v>
      </c>
    </row>
    <row r="12" spans="1:31" ht="60">
      <c r="A12" s="220">
        <v>-1</v>
      </c>
      <c r="B12" s="332">
        <v>-2</v>
      </c>
      <c r="C12" s="332"/>
      <c r="D12" s="332">
        <v>-8</v>
      </c>
      <c r="E12" s="332"/>
      <c r="F12" s="477"/>
      <c r="G12" s="477"/>
      <c r="H12" s="477"/>
      <c r="I12" s="477"/>
      <c r="J12" s="477"/>
      <c r="K12" s="347"/>
      <c r="L12" s="347"/>
      <c r="M12" s="347"/>
      <c r="N12" s="347"/>
      <c r="O12" s="347"/>
      <c r="P12" s="347"/>
      <c r="Q12" s="347"/>
      <c r="R12" s="347"/>
      <c r="S12" s="347"/>
      <c r="T12" s="375"/>
      <c r="AD12" s="190" t="s">
        <v>799</v>
      </c>
      <c r="AE12" s="479">
        <v>3.3399999999999999E-2</v>
      </c>
    </row>
    <row r="13" spans="1:31" ht="60">
      <c r="A13" s="196"/>
      <c r="B13" s="347"/>
      <c r="C13" s="222"/>
      <c r="D13" s="222"/>
      <c r="E13" s="359"/>
      <c r="F13" s="359"/>
      <c r="G13" s="359"/>
      <c r="H13" s="359"/>
      <c r="I13" s="359"/>
      <c r="J13" s="359"/>
      <c r="K13" s="347"/>
      <c r="L13" s="347"/>
      <c r="M13" s="347"/>
      <c r="N13" s="347"/>
      <c r="O13" s="347"/>
      <c r="P13" s="347"/>
      <c r="Q13" s="347"/>
      <c r="R13" s="347"/>
      <c r="S13" s="347"/>
      <c r="T13" s="375"/>
      <c r="AD13" s="190" t="s">
        <v>849</v>
      </c>
      <c r="AE13" s="479">
        <v>6.3299999999999995E-2</v>
      </c>
    </row>
    <row r="14" spans="1:31" ht="60">
      <c r="A14" s="211">
        <v>1</v>
      </c>
      <c r="B14" s="222" t="s">
        <v>505</v>
      </c>
      <c r="C14" s="480">
        <v>5.28E-2</v>
      </c>
      <c r="D14" s="442">
        <v>4781.54</v>
      </c>
      <c r="E14" s="441">
        <v>4772.1400000000003</v>
      </c>
      <c r="F14" s="481">
        <f t="shared" ref="F14:F35" si="0">AVERAGE(D14,E14)*C14</f>
        <v>252.217152</v>
      </c>
      <c r="G14" s="441">
        <v>4772.1400000000003</v>
      </c>
      <c r="H14" s="481">
        <f t="shared" ref="H14:H35" si="1">AVERAGE(E14,G14)*C14</f>
        <v>251.96899200000001</v>
      </c>
      <c r="I14" s="481">
        <v>4849.4799999999996</v>
      </c>
      <c r="J14" s="481">
        <f t="shared" ref="J14:J35" si="2">AVERAGE(G14,I14)*C14</f>
        <v>254.01076799999998</v>
      </c>
      <c r="K14" s="404">
        <f>I14+M106</f>
        <v>5002.58</v>
      </c>
      <c r="L14" s="404">
        <f>AVERAGE(I14,K14)*C14</f>
        <v>260.09438399999999</v>
      </c>
      <c r="M14" s="404">
        <f>K14+N106</f>
        <v>5104.53</v>
      </c>
      <c r="N14" s="1113">
        <f>AVERAGE(K14,M14)*$C14</f>
        <v>266.82770400000004</v>
      </c>
      <c r="O14" s="404">
        <f>M14+O106</f>
        <v>5188.6499999999996</v>
      </c>
      <c r="P14" s="1113">
        <f>AVERAGE(M14,O14)*$C14</f>
        <v>271.73995200000002</v>
      </c>
      <c r="Q14" s="404">
        <f>O14+P106</f>
        <v>5188.6499999999996</v>
      </c>
      <c r="R14" s="1113">
        <f>AVERAGE(O14,Q14)*$C14</f>
        <v>273.96071999999998</v>
      </c>
      <c r="S14" s="404">
        <f>Q14+Q106</f>
        <v>5188.6499999999996</v>
      </c>
      <c r="T14" s="1113">
        <f>AVERAGE(Q14,S14)*$C14</f>
        <v>273.96071999999998</v>
      </c>
      <c r="AD14" s="190" t="s">
        <v>850</v>
      </c>
      <c r="AE14" s="479">
        <v>0.15</v>
      </c>
    </row>
    <row r="15" spans="1:31" ht="30">
      <c r="A15" s="211">
        <v>2</v>
      </c>
      <c r="B15" s="224" t="s">
        <v>515</v>
      </c>
      <c r="C15" s="480">
        <v>5.28E-2</v>
      </c>
      <c r="D15" s="442">
        <v>864.96</v>
      </c>
      <c r="E15" s="441">
        <v>877.1</v>
      </c>
      <c r="F15" s="481">
        <f t="shared" si="0"/>
        <v>45.990383999999999</v>
      </c>
      <c r="G15" s="441">
        <v>977.42</v>
      </c>
      <c r="H15" s="481">
        <f t="shared" si="1"/>
        <v>48.959327999999999</v>
      </c>
      <c r="I15" s="481">
        <v>1007.17</v>
      </c>
      <c r="J15" s="481">
        <f t="shared" si="2"/>
        <v>52.393175999999997</v>
      </c>
      <c r="K15" s="404">
        <f t="shared" ref="K15:K35" si="3">I15+M107</f>
        <v>1008.37</v>
      </c>
      <c r="L15" s="404">
        <f t="shared" ref="L15:L35" si="4">AVERAGE(I15,K15)*C15</f>
        <v>53.210256000000001</v>
      </c>
      <c r="M15" s="404">
        <f t="shared" ref="M15:M35" si="5">K15+N107</f>
        <v>1009.97</v>
      </c>
      <c r="N15" s="1113">
        <f t="shared" ref="N15:T35" si="6">AVERAGE(K15,M15)*$C15</f>
        <v>53.284176000000002</v>
      </c>
      <c r="O15" s="404">
        <f t="shared" ref="O15:O35" si="7">M15+O107</f>
        <v>1655.29</v>
      </c>
      <c r="P15" s="1113">
        <f t="shared" si="6"/>
        <v>70.362864000000002</v>
      </c>
      <c r="Q15" s="404">
        <f t="shared" ref="Q15:Q35" si="8">O15+P107</f>
        <v>1655.29</v>
      </c>
      <c r="R15" s="1113">
        <f t="shared" si="6"/>
        <v>87.399311999999995</v>
      </c>
      <c r="S15" s="404">
        <f t="shared" ref="S15:S35" si="9">Q15+Q107</f>
        <v>1655.29</v>
      </c>
      <c r="T15" s="1113">
        <f t="shared" si="6"/>
        <v>87.399311999999995</v>
      </c>
      <c r="AD15" s="190" t="s">
        <v>851</v>
      </c>
      <c r="AE15" s="479">
        <v>0</v>
      </c>
    </row>
    <row r="16" spans="1:31" ht="60">
      <c r="A16" s="211">
        <v>3</v>
      </c>
      <c r="B16" s="369" t="s">
        <v>524</v>
      </c>
      <c r="C16" s="482">
        <v>0</v>
      </c>
      <c r="D16" s="443">
        <v>40.36</v>
      </c>
      <c r="E16" s="361">
        <v>39.71</v>
      </c>
      <c r="F16" s="481">
        <f t="shared" si="0"/>
        <v>0</v>
      </c>
      <c r="G16" s="361">
        <v>39.869999999999997</v>
      </c>
      <c r="H16" s="481">
        <f t="shared" si="1"/>
        <v>0</v>
      </c>
      <c r="I16" s="481">
        <v>53.06</v>
      </c>
      <c r="J16" s="481">
        <f t="shared" si="2"/>
        <v>0</v>
      </c>
      <c r="K16" s="404">
        <f t="shared" si="3"/>
        <v>53.06</v>
      </c>
      <c r="L16" s="404">
        <f t="shared" si="4"/>
        <v>0</v>
      </c>
      <c r="M16" s="404">
        <f t="shared" si="5"/>
        <v>53.06</v>
      </c>
      <c r="N16" s="1113">
        <f t="shared" si="6"/>
        <v>0</v>
      </c>
      <c r="O16" s="404">
        <f t="shared" si="7"/>
        <v>53.06</v>
      </c>
      <c r="P16" s="1113">
        <f t="shared" si="6"/>
        <v>0</v>
      </c>
      <c r="Q16" s="404">
        <f t="shared" si="8"/>
        <v>53.06</v>
      </c>
      <c r="R16" s="1113">
        <f t="shared" si="6"/>
        <v>0</v>
      </c>
      <c r="S16" s="404">
        <f t="shared" si="9"/>
        <v>53.06</v>
      </c>
      <c r="T16" s="1113">
        <f t="shared" si="6"/>
        <v>0</v>
      </c>
      <c r="AD16" s="190" t="s">
        <v>801</v>
      </c>
      <c r="AE16" s="479">
        <v>6.3299999999999995E-2</v>
      </c>
    </row>
    <row r="17" spans="1:31" ht="45">
      <c r="A17" s="211">
        <v>4</v>
      </c>
      <c r="B17" s="369" t="s">
        <v>526</v>
      </c>
      <c r="C17" s="482">
        <v>5.28E-2</v>
      </c>
      <c r="D17" s="443">
        <v>0.02</v>
      </c>
      <c r="E17" s="361">
        <v>0.02</v>
      </c>
      <c r="F17" s="481">
        <f t="shared" si="0"/>
        <v>1.0560000000000001E-3</v>
      </c>
      <c r="G17" s="361">
        <v>0.02</v>
      </c>
      <c r="H17" s="481">
        <f t="shared" si="1"/>
        <v>1.0560000000000001E-3</v>
      </c>
      <c r="I17" s="481">
        <v>0.02</v>
      </c>
      <c r="J17" s="481">
        <f t="shared" si="2"/>
        <v>1.0560000000000001E-3</v>
      </c>
      <c r="K17" s="404">
        <f t="shared" si="3"/>
        <v>0.02</v>
      </c>
      <c r="L17" s="404">
        <f t="shared" si="4"/>
        <v>1.0560000000000001E-3</v>
      </c>
      <c r="M17" s="404">
        <f t="shared" si="5"/>
        <v>0.02</v>
      </c>
      <c r="N17" s="1113">
        <f t="shared" si="6"/>
        <v>1.0560000000000001E-3</v>
      </c>
      <c r="O17" s="404">
        <f t="shared" si="7"/>
        <v>0.02</v>
      </c>
      <c r="P17" s="1113">
        <f t="shared" si="6"/>
        <v>1.0560000000000001E-3</v>
      </c>
      <c r="Q17" s="404">
        <f t="shared" si="8"/>
        <v>0.02</v>
      </c>
      <c r="R17" s="1113">
        <f t="shared" si="6"/>
        <v>1.0560000000000001E-3</v>
      </c>
      <c r="S17" s="404">
        <f t="shared" si="9"/>
        <v>0.02</v>
      </c>
      <c r="T17" s="1113">
        <f t="shared" si="6"/>
        <v>1.0560000000000001E-3</v>
      </c>
      <c r="AD17" s="190" t="s">
        <v>800</v>
      </c>
      <c r="AE17" s="479">
        <v>5.28E-2</v>
      </c>
    </row>
    <row r="18" spans="1:31" ht="45">
      <c r="A18" s="211">
        <v>5</v>
      </c>
      <c r="B18" s="369" t="s">
        <v>528</v>
      </c>
      <c r="C18" s="482">
        <v>5.28E-2</v>
      </c>
      <c r="D18" s="443">
        <v>21.35</v>
      </c>
      <c r="E18" s="361">
        <v>23.38</v>
      </c>
      <c r="F18" s="481">
        <f t="shared" si="0"/>
        <v>1.1808720000000001</v>
      </c>
      <c r="G18" s="361">
        <v>23.39</v>
      </c>
      <c r="H18" s="481">
        <f t="shared" si="1"/>
        <v>1.2347279999999998</v>
      </c>
      <c r="I18" s="481">
        <v>23.47</v>
      </c>
      <c r="J18" s="481">
        <f t="shared" si="2"/>
        <v>1.237104</v>
      </c>
      <c r="K18" s="404">
        <f t="shared" si="3"/>
        <v>23.47</v>
      </c>
      <c r="L18" s="404">
        <f t="shared" si="4"/>
        <v>1.2392159999999999</v>
      </c>
      <c r="M18" s="404">
        <f t="shared" si="5"/>
        <v>23.47</v>
      </c>
      <c r="N18" s="1113">
        <f t="shared" si="6"/>
        <v>1.2392159999999999</v>
      </c>
      <c r="O18" s="404">
        <f t="shared" si="7"/>
        <v>23.47</v>
      </c>
      <c r="P18" s="1113">
        <f t="shared" si="6"/>
        <v>1.2392159999999999</v>
      </c>
      <c r="Q18" s="404">
        <f t="shared" si="8"/>
        <v>23.47</v>
      </c>
      <c r="R18" s="1113">
        <f t="shared" si="6"/>
        <v>1.2392159999999999</v>
      </c>
      <c r="S18" s="404">
        <f t="shared" si="9"/>
        <v>23.47</v>
      </c>
      <c r="T18" s="1113">
        <f t="shared" si="6"/>
        <v>1.2392159999999999</v>
      </c>
      <c r="AD18" s="190" t="s">
        <v>852</v>
      </c>
      <c r="AE18" s="479">
        <v>3.3399999999999999E-2</v>
      </c>
    </row>
    <row r="19" spans="1:31">
      <c r="A19" s="211">
        <v>6</v>
      </c>
      <c r="B19" s="369" t="s">
        <v>531</v>
      </c>
      <c r="C19" s="482">
        <v>3.3399999999999999E-2</v>
      </c>
      <c r="D19" s="443">
        <v>11.44</v>
      </c>
      <c r="E19" s="361">
        <v>11.75</v>
      </c>
      <c r="F19" s="481">
        <f t="shared" si="0"/>
        <v>0.38727299999999998</v>
      </c>
      <c r="G19" s="361">
        <v>12.34</v>
      </c>
      <c r="H19" s="481">
        <f t="shared" si="1"/>
        <v>0.40230299999999997</v>
      </c>
      <c r="I19" s="481">
        <v>12.69</v>
      </c>
      <c r="J19" s="481">
        <f t="shared" si="2"/>
        <v>0.41800100000000001</v>
      </c>
      <c r="K19" s="404">
        <f t="shared" si="3"/>
        <v>26.450000000000003</v>
      </c>
      <c r="L19" s="404">
        <f t="shared" si="4"/>
        <v>0.65363799999999994</v>
      </c>
      <c r="M19" s="404">
        <f t="shared" si="5"/>
        <v>38.930000000000007</v>
      </c>
      <c r="N19" s="1113">
        <f t="shared" si="6"/>
        <v>1.0918460000000001</v>
      </c>
      <c r="O19" s="404">
        <f t="shared" si="7"/>
        <v>41.930000000000007</v>
      </c>
      <c r="P19" s="1113">
        <f t="shared" si="6"/>
        <v>1.3503620000000003</v>
      </c>
      <c r="Q19" s="404">
        <f t="shared" si="8"/>
        <v>41.930000000000007</v>
      </c>
      <c r="R19" s="1113">
        <f t="shared" si="6"/>
        <v>1.4004620000000001</v>
      </c>
      <c r="S19" s="404">
        <f t="shared" si="9"/>
        <v>41.930000000000007</v>
      </c>
      <c r="T19" s="1113">
        <f t="shared" si="6"/>
        <v>1.4004620000000001</v>
      </c>
    </row>
    <row r="20" spans="1:31" ht="24">
      <c r="A20" s="211">
        <v>7</v>
      </c>
      <c r="B20" s="369" t="s">
        <v>533</v>
      </c>
      <c r="C20" s="482">
        <v>3.3399999999999999E-2</v>
      </c>
      <c r="D20" s="443">
        <v>42.61</v>
      </c>
      <c r="E20" s="361">
        <v>45.72</v>
      </c>
      <c r="F20" s="481">
        <f t="shared" si="0"/>
        <v>1.4751109999999998</v>
      </c>
      <c r="G20" s="361">
        <v>44.63</v>
      </c>
      <c r="H20" s="481">
        <f t="shared" si="1"/>
        <v>1.5088449999999998</v>
      </c>
      <c r="I20" s="481">
        <v>43.95</v>
      </c>
      <c r="J20" s="481">
        <f t="shared" si="2"/>
        <v>1.4792860000000001</v>
      </c>
      <c r="K20" s="404">
        <f t="shared" si="3"/>
        <v>43.95</v>
      </c>
      <c r="L20" s="404">
        <f t="shared" si="4"/>
        <v>1.46793</v>
      </c>
      <c r="M20" s="404">
        <f t="shared" si="5"/>
        <v>43.95</v>
      </c>
      <c r="N20" s="1113">
        <f t="shared" si="6"/>
        <v>1.46793</v>
      </c>
      <c r="O20" s="404">
        <f t="shared" si="7"/>
        <v>43.95</v>
      </c>
      <c r="P20" s="1113">
        <f t="shared" si="6"/>
        <v>1.46793</v>
      </c>
      <c r="Q20" s="404">
        <f t="shared" si="8"/>
        <v>43.95</v>
      </c>
      <c r="R20" s="1113">
        <f t="shared" si="6"/>
        <v>1.46793</v>
      </c>
      <c r="S20" s="404">
        <f t="shared" si="9"/>
        <v>43.95</v>
      </c>
      <c r="T20" s="1113">
        <f t="shared" si="6"/>
        <v>1.46793</v>
      </c>
    </row>
    <row r="21" spans="1:31">
      <c r="A21" s="211">
        <v>8</v>
      </c>
      <c r="B21" s="369" t="s">
        <v>535</v>
      </c>
      <c r="C21" s="482">
        <v>3.3399999999999999E-2</v>
      </c>
      <c r="D21" s="443">
        <v>16.940000000000001</v>
      </c>
      <c r="E21" s="361">
        <v>17.190000000000001</v>
      </c>
      <c r="F21" s="481">
        <f t="shared" si="0"/>
        <v>0.56997100000000001</v>
      </c>
      <c r="G21" s="361">
        <v>17.190000000000001</v>
      </c>
      <c r="H21" s="481">
        <f t="shared" si="1"/>
        <v>0.57414600000000005</v>
      </c>
      <c r="I21" s="481">
        <v>17.190000000000001</v>
      </c>
      <c r="J21" s="481">
        <f t="shared" si="2"/>
        <v>0.57414600000000005</v>
      </c>
      <c r="K21" s="404">
        <f t="shared" si="3"/>
        <v>17.190000000000001</v>
      </c>
      <c r="L21" s="404">
        <f t="shared" si="4"/>
        <v>0.57414600000000005</v>
      </c>
      <c r="M21" s="404">
        <f t="shared" si="5"/>
        <v>17.190000000000001</v>
      </c>
      <c r="N21" s="1113">
        <f t="shared" si="6"/>
        <v>0.57414600000000005</v>
      </c>
      <c r="O21" s="404">
        <f t="shared" si="7"/>
        <v>17.190000000000001</v>
      </c>
      <c r="P21" s="1113">
        <f t="shared" si="6"/>
        <v>0.57414600000000005</v>
      </c>
      <c r="Q21" s="404">
        <f t="shared" si="8"/>
        <v>17.190000000000001</v>
      </c>
      <c r="R21" s="1113">
        <f t="shared" si="6"/>
        <v>0.57414600000000005</v>
      </c>
      <c r="S21" s="404">
        <f t="shared" si="9"/>
        <v>17.190000000000001</v>
      </c>
      <c r="T21" s="1113">
        <f t="shared" si="6"/>
        <v>0.57414600000000005</v>
      </c>
    </row>
    <row r="22" spans="1:31">
      <c r="A22" s="211">
        <v>9</v>
      </c>
      <c r="B22" s="369" t="s">
        <v>537</v>
      </c>
      <c r="C22" s="482">
        <v>3.3399999999999999E-2</v>
      </c>
      <c r="D22" s="443">
        <v>43.17</v>
      </c>
      <c r="E22" s="361">
        <v>46.07</v>
      </c>
      <c r="F22" s="481">
        <f t="shared" si="0"/>
        <v>1.4903080000000002</v>
      </c>
      <c r="G22" s="361">
        <v>51.48</v>
      </c>
      <c r="H22" s="481">
        <f t="shared" si="1"/>
        <v>1.6290849999999999</v>
      </c>
      <c r="I22" s="481">
        <v>54.47</v>
      </c>
      <c r="J22" s="481">
        <f t="shared" si="2"/>
        <v>1.7693649999999999</v>
      </c>
      <c r="K22" s="404">
        <f t="shared" si="3"/>
        <v>54.47</v>
      </c>
      <c r="L22" s="404">
        <f t="shared" si="4"/>
        <v>1.8192979999999999</v>
      </c>
      <c r="M22" s="404">
        <f t="shared" si="5"/>
        <v>54.47</v>
      </c>
      <c r="N22" s="1113">
        <f t="shared" si="6"/>
        <v>1.8192979999999999</v>
      </c>
      <c r="O22" s="404">
        <f t="shared" si="7"/>
        <v>54.47</v>
      </c>
      <c r="P22" s="1113">
        <f t="shared" si="6"/>
        <v>1.8192979999999999</v>
      </c>
      <c r="Q22" s="404">
        <f t="shared" si="8"/>
        <v>54.47</v>
      </c>
      <c r="R22" s="1113">
        <f t="shared" si="6"/>
        <v>1.8192979999999999</v>
      </c>
      <c r="S22" s="404">
        <f t="shared" si="9"/>
        <v>54.47</v>
      </c>
      <c r="T22" s="1113">
        <f t="shared" si="6"/>
        <v>1.8192979999999999</v>
      </c>
    </row>
    <row r="23" spans="1:31">
      <c r="A23" s="211">
        <v>10</v>
      </c>
      <c r="B23" s="369" t="s">
        <v>539</v>
      </c>
      <c r="C23" s="482">
        <v>5.28E-2</v>
      </c>
      <c r="D23" s="356">
        <v>83.48</v>
      </c>
      <c r="E23" s="361">
        <v>83.96</v>
      </c>
      <c r="F23" s="481">
        <f t="shared" si="0"/>
        <v>4.4204160000000003</v>
      </c>
      <c r="G23" s="361">
        <v>84.18</v>
      </c>
      <c r="H23" s="481">
        <f t="shared" si="1"/>
        <v>4.4388959999999997</v>
      </c>
      <c r="I23" s="481">
        <v>84.22</v>
      </c>
      <c r="J23" s="481">
        <f t="shared" si="2"/>
        <v>4.4457599999999999</v>
      </c>
      <c r="K23" s="404">
        <f t="shared" si="3"/>
        <v>84.22</v>
      </c>
      <c r="L23" s="404">
        <f t="shared" si="4"/>
        <v>4.4468160000000001</v>
      </c>
      <c r="M23" s="404">
        <f t="shared" si="5"/>
        <v>84.22</v>
      </c>
      <c r="N23" s="1113">
        <f t="shared" si="6"/>
        <v>4.4468160000000001</v>
      </c>
      <c r="O23" s="404">
        <f t="shared" si="7"/>
        <v>84.22</v>
      </c>
      <c r="P23" s="1113">
        <f t="shared" si="6"/>
        <v>4.4468160000000001</v>
      </c>
      <c r="Q23" s="404">
        <f t="shared" si="8"/>
        <v>84.22</v>
      </c>
      <c r="R23" s="1113">
        <f t="shared" si="6"/>
        <v>4.4468160000000001</v>
      </c>
      <c r="S23" s="404">
        <f t="shared" si="9"/>
        <v>84.22</v>
      </c>
      <c r="T23" s="1113">
        <f t="shared" si="6"/>
        <v>4.4468160000000001</v>
      </c>
    </row>
    <row r="24" spans="1:31">
      <c r="A24" s="211">
        <v>11</v>
      </c>
      <c r="B24" s="369" t="s">
        <v>540</v>
      </c>
      <c r="C24" s="482">
        <v>5.28E-2</v>
      </c>
      <c r="D24" s="443">
        <v>245.31</v>
      </c>
      <c r="E24" s="361">
        <v>250.38</v>
      </c>
      <c r="F24" s="481">
        <f t="shared" si="0"/>
        <v>13.086216</v>
      </c>
      <c r="G24" s="361">
        <v>274.52999999999997</v>
      </c>
      <c r="H24" s="481">
        <f t="shared" si="1"/>
        <v>13.857623999999999</v>
      </c>
      <c r="I24" s="481">
        <v>319.35000000000002</v>
      </c>
      <c r="J24" s="481">
        <f t="shared" si="2"/>
        <v>15.678431999999999</v>
      </c>
      <c r="K24" s="404">
        <f t="shared" si="3"/>
        <v>319.35000000000002</v>
      </c>
      <c r="L24" s="404">
        <f t="shared" si="4"/>
        <v>16.86168</v>
      </c>
      <c r="M24" s="404">
        <f t="shared" si="5"/>
        <v>319.35000000000002</v>
      </c>
      <c r="N24" s="1113">
        <f t="shared" si="6"/>
        <v>16.86168</v>
      </c>
      <c r="O24" s="404">
        <f t="shared" si="7"/>
        <v>319.35000000000002</v>
      </c>
      <c r="P24" s="1113">
        <f t="shared" si="6"/>
        <v>16.86168</v>
      </c>
      <c r="Q24" s="404">
        <f t="shared" si="8"/>
        <v>319.35000000000002</v>
      </c>
      <c r="R24" s="1113">
        <f t="shared" si="6"/>
        <v>16.86168</v>
      </c>
      <c r="S24" s="404">
        <f t="shared" si="9"/>
        <v>319.35000000000002</v>
      </c>
      <c r="T24" s="1113">
        <f t="shared" si="6"/>
        <v>16.86168</v>
      </c>
    </row>
    <row r="25" spans="1:31" ht="24">
      <c r="A25" s="211">
        <v>12</v>
      </c>
      <c r="B25" s="369" t="s">
        <v>541</v>
      </c>
      <c r="C25" s="482">
        <v>3.3399999999999999E-2</v>
      </c>
      <c r="D25" s="443">
        <v>0.23</v>
      </c>
      <c r="E25" s="361">
        <v>0.6</v>
      </c>
      <c r="F25" s="481">
        <f t="shared" si="0"/>
        <v>1.3860999999999998E-2</v>
      </c>
      <c r="G25" s="361">
        <v>1.45</v>
      </c>
      <c r="H25" s="481">
        <f t="shared" si="1"/>
        <v>3.4234999999999995E-2</v>
      </c>
      <c r="I25" s="481">
        <v>1.52</v>
      </c>
      <c r="J25" s="481">
        <f t="shared" si="2"/>
        <v>4.9598999999999997E-2</v>
      </c>
      <c r="K25" s="404">
        <f t="shared" si="3"/>
        <v>4.97</v>
      </c>
      <c r="L25" s="404">
        <f t="shared" si="4"/>
        <v>0.10838300000000001</v>
      </c>
      <c r="M25" s="404">
        <f t="shared" si="5"/>
        <v>5.57</v>
      </c>
      <c r="N25" s="1113">
        <f t="shared" si="6"/>
        <v>0.17601799999999998</v>
      </c>
      <c r="O25" s="404">
        <f t="shared" si="7"/>
        <v>5.57</v>
      </c>
      <c r="P25" s="1113">
        <f t="shared" si="6"/>
        <v>0.18603800000000001</v>
      </c>
      <c r="Q25" s="404">
        <f t="shared" si="8"/>
        <v>5.57</v>
      </c>
      <c r="R25" s="1113">
        <f t="shared" si="6"/>
        <v>0.18603800000000001</v>
      </c>
      <c r="S25" s="404">
        <f t="shared" si="9"/>
        <v>5.57</v>
      </c>
      <c r="T25" s="1113">
        <f t="shared" si="6"/>
        <v>0.18603800000000001</v>
      </c>
    </row>
    <row r="26" spans="1:31">
      <c r="A26" s="211">
        <v>13</v>
      </c>
      <c r="B26" s="369" t="s">
        <v>542</v>
      </c>
      <c r="C26" s="482">
        <f>C14</f>
        <v>5.28E-2</v>
      </c>
      <c r="D26" s="443">
        <v>80.739999999999995</v>
      </c>
      <c r="E26" s="361">
        <v>153.1</v>
      </c>
      <c r="F26" s="481">
        <f t="shared" si="0"/>
        <v>6.1733759999999993</v>
      </c>
      <c r="G26" s="361">
        <v>270.87</v>
      </c>
      <c r="H26" s="481">
        <f t="shared" si="1"/>
        <v>11.192808000000001</v>
      </c>
      <c r="I26" s="481">
        <v>322.57</v>
      </c>
      <c r="J26" s="481">
        <f t="shared" si="2"/>
        <v>15.666816000000001</v>
      </c>
      <c r="K26" s="404">
        <f t="shared" si="3"/>
        <v>349.51</v>
      </c>
      <c r="L26" s="404">
        <f t="shared" si="4"/>
        <v>17.742911999999997</v>
      </c>
      <c r="M26" s="404">
        <f t="shared" si="5"/>
        <v>374.01</v>
      </c>
      <c r="N26" s="1113">
        <f t="shared" si="6"/>
        <v>19.100928</v>
      </c>
      <c r="O26" s="404">
        <f t="shared" si="7"/>
        <v>453.61</v>
      </c>
      <c r="P26" s="1113">
        <f t="shared" si="6"/>
        <v>21.849167999999999</v>
      </c>
      <c r="Q26" s="404">
        <f t="shared" si="8"/>
        <v>453.61</v>
      </c>
      <c r="R26" s="1113">
        <f t="shared" si="6"/>
        <v>23.950607999999999</v>
      </c>
      <c r="S26" s="404">
        <f t="shared" si="9"/>
        <v>453.61</v>
      </c>
      <c r="T26" s="1113">
        <f t="shared" si="6"/>
        <v>23.950607999999999</v>
      </c>
    </row>
    <row r="27" spans="1:31" ht="36">
      <c r="A27" s="211">
        <v>14</v>
      </c>
      <c r="B27" s="369" t="s">
        <v>744</v>
      </c>
      <c r="C27" s="482">
        <v>3.3399999999999999E-2</v>
      </c>
      <c r="D27" s="443">
        <v>52.18</v>
      </c>
      <c r="E27" s="361">
        <v>63.5</v>
      </c>
      <c r="F27" s="481">
        <f t="shared" si="0"/>
        <v>1.931856</v>
      </c>
      <c r="G27" s="361">
        <v>90.3</v>
      </c>
      <c r="H27" s="481">
        <f t="shared" si="1"/>
        <v>2.56846</v>
      </c>
      <c r="I27" s="481">
        <v>109.53</v>
      </c>
      <c r="J27" s="481">
        <f t="shared" si="2"/>
        <v>3.3371609999999996</v>
      </c>
      <c r="K27" s="404">
        <f t="shared" si="3"/>
        <v>116.438</v>
      </c>
      <c r="L27" s="404">
        <f t="shared" si="4"/>
        <v>3.7736656000000002</v>
      </c>
      <c r="M27" s="404">
        <f t="shared" si="5"/>
        <v>125.438</v>
      </c>
      <c r="N27" s="1113">
        <f t="shared" si="6"/>
        <v>4.0393292000000001</v>
      </c>
      <c r="O27" s="404">
        <f t="shared" si="7"/>
        <v>131.578</v>
      </c>
      <c r="P27" s="1113">
        <f t="shared" si="6"/>
        <v>4.2921672000000006</v>
      </c>
      <c r="Q27" s="404">
        <f t="shared" si="8"/>
        <v>131.578</v>
      </c>
      <c r="R27" s="1113">
        <f t="shared" si="6"/>
        <v>4.3947051999999998</v>
      </c>
      <c r="S27" s="404">
        <f t="shared" si="9"/>
        <v>131.578</v>
      </c>
      <c r="T27" s="1113">
        <f t="shared" si="6"/>
        <v>4.3947051999999998</v>
      </c>
    </row>
    <row r="28" spans="1:31">
      <c r="A28" s="211">
        <v>15</v>
      </c>
      <c r="B28" s="369" t="s">
        <v>543</v>
      </c>
      <c r="C28" s="482">
        <v>3.3399999999999999E-2</v>
      </c>
      <c r="D28" s="443">
        <v>0.79</v>
      </c>
      <c r="E28" s="361">
        <v>0.78</v>
      </c>
      <c r="F28" s="481">
        <f t="shared" si="0"/>
        <v>2.6218999999999999E-2</v>
      </c>
      <c r="G28" s="361">
        <v>0.87</v>
      </c>
      <c r="H28" s="481">
        <f t="shared" si="1"/>
        <v>2.7554999999999996E-2</v>
      </c>
      <c r="I28" s="481">
        <v>1.25</v>
      </c>
      <c r="J28" s="481">
        <f t="shared" si="2"/>
        <v>3.5403999999999998E-2</v>
      </c>
      <c r="K28" s="404">
        <f t="shared" si="3"/>
        <v>2.75</v>
      </c>
      <c r="L28" s="404">
        <f t="shared" si="4"/>
        <v>6.6799999999999998E-2</v>
      </c>
      <c r="M28" s="404">
        <f t="shared" si="5"/>
        <v>4.25</v>
      </c>
      <c r="N28" s="1113">
        <f t="shared" si="6"/>
        <v>0.1169</v>
      </c>
      <c r="O28" s="404">
        <f t="shared" si="7"/>
        <v>4.25</v>
      </c>
      <c r="P28" s="1113">
        <f t="shared" si="6"/>
        <v>0.14194999999999999</v>
      </c>
      <c r="Q28" s="404">
        <f t="shared" si="8"/>
        <v>4.25</v>
      </c>
      <c r="R28" s="1113">
        <f t="shared" si="6"/>
        <v>0.14194999999999999</v>
      </c>
      <c r="S28" s="404">
        <f t="shared" si="9"/>
        <v>4.25</v>
      </c>
      <c r="T28" s="1113">
        <f t="shared" si="6"/>
        <v>0.14194999999999999</v>
      </c>
    </row>
    <row r="29" spans="1:31">
      <c r="A29" s="211">
        <v>16</v>
      </c>
      <c r="B29" s="369" t="s">
        <v>544</v>
      </c>
      <c r="C29" s="482">
        <v>3.3399999999999999E-2</v>
      </c>
      <c r="D29" s="443">
        <v>9.4499999999999993</v>
      </c>
      <c r="E29" s="361">
        <v>10.050000000000001</v>
      </c>
      <c r="F29" s="481">
        <f t="shared" si="0"/>
        <v>0.32565</v>
      </c>
      <c r="G29" s="361">
        <v>10.73</v>
      </c>
      <c r="H29" s="481">
        <f t="shared" si="1"/>
        <v>0.347026</v>
      </c>
      <c r="I29" s="481">
        <v>13.84</v>
      </c>
      <c r="J29" s="481">
        <f t="shared" si="2"/>
        <v>0.41031899999999999</v>
      </c>
      <c r="K29" s="404">
        <f t="shared" si="3"/>
        <v>13.84</v>
      </c>
      <c r="L29" s="404">
        <f t="shared" si="4"/>
        <v>0.462256</v>
      </c>
      <c r="M29" s="404">
        <f t="shared" si="5"/>
        <v>13.84</v>
      </c>
      <c r="N29" s="1113">
        <f t="shared" si="6"/>
        <v>0.462256</v>
      </c>
      <c r="O29" s="404">
        <f t="shared" si="7"/>
        <v>13.84</v>
      </c>
      <c r="P29" s="1113">
        <f t="shared" si="6"/>
        <v>0.462256</v>
      </c>
      <c r="Q29" s="404">
        <f t="shared" si="8"/>
        <v>13.84</v>
      </c>
      <c r="R29" s="1113">
        <f t="shared" si="6"/>
        <v>0.462256</v>
      </c>
      <c r="S29" s="404">
        <f t="shared" si="9"/>
        <v>13.84</v>
      </c>
      <c r="T29" s="1113">
        <f t="shared" si="6"/>
        <v>0.462256</v>
      </c>
    </row>
    <row r="30" spans="1:31" ht="30" customHeight="1">
      <c r="A30" s="211">
        <v>17</v>
      </c>
      <c r="B30" s="369" t="s">
        <v>545</v>
      </c>
      <c r="C30" s="482">
        <v>5.28E-2</v>
      </c>
      <c r="D30" s="443">
        <v>0.42</v>
      </c>
      <c r="E30" s="361">
        <v>0.45</v>
      </c>
      <c r="F30" s="481">
        <f t="shared" si="0"/>
        <v>2.2967999999999999E-2</v>
      </c>
      <c r="G30" s="361">
        <v>0.45</v>
      </c>
      <c r="H30" s="481">
        <f t="shared" si="1"/>
        <v>2.376E-2</v>
      </c>
      <c r="I30" s="481">
        <v>1.49</v>
      </c>
      <c r="J30" s="481">
        <f t="shared" si="2"/>
        <v>5.1215999999999998E-2</v>
      </c>
      <c r="K30" s="404">
        <f t="shared" si="3"/>
        <v>1.49</v>
      </c>
      <c r="L30" s="404">
        <f t="shared" si="4"/>
        <v>7.8672000000000006E-2</v>
      </c>
      <c r="M30" s="404">
        <f t="shared" si="5"/>
        <v>1.49</v>
      </c>
      <c r="N30" s="1113">
        <f t="shared" si="6"/>
        <v>7.8672000000000006E-2</v>
      </c>
      <c r="O30" s="404">
        <f t="shared" si="7"/>
        <v>1.49</v>
      </c>
      <c r="P30" s="1113">
        <f t="shared" si="6"/>
        <v>7.8672000000000006E-2</v>
      </c>
      <c r="Q30" s="404">
        <f t="shared" si="8"/>
        <v>1.49</v>
      </c>
      <c r="R30" s="1113">
        <f t="shared" si="6"/>
        <v>7.8672000000000006E-2</v>
      </c>
      <c r="S30" s="404">
        <f t="shared" si="9"/>
        <v>1.49</v>
      </c>
      <c r="T30" s="1113">
        <f t="shared" si="6"/>
        <v>7.8672000000000006E-2</v>
      </c>
    </row>
    <row r="31" spans="1:31" ht="43.5" customHeight="1">
      <c r="A31" s="211">
        <v>18</v>
      </c>
      <c r="B31" s="369" t="s">
        <v>546</v>
      </c>
      <c r="C31" s="482">
        <v>5.28E-2</v>
      </c>
      <c r="D31" s="443">
        <v>42</v>
      </c>
      <c r="E31" s="361">
        <v>48.02</v>
      </c>
      <c r="F31" s="481">
        <f t="shared" si="0"/>
        <v>2.3765280000000004</v>
      </c>
      <c r="G31" s="361">
        <v>48.02</v>
      </c>
      <c r="H31" s="481">
        <f t="shared" si="1"/>
        <v>2.5354559999999999</v>
      </c>
      <c r="I31" s="481">
        <v>49.01</v>
      </c>
      <c r="J31" s="481">
        <f t="shared" si="2"/>
        <v>2.5615920000000001</v>
      </c>
      <c r="K31" s="404">
        <f t="shared" si="3"/>
        <v>49.01</v>
      </c>
      <c r="L31" s="404">
        <f t="shared" si="4"/>
        <v>2.5877279999999998</v>
      </c>
      <c r="M31" s="404">
        <f t="shared" si="5"/>
        <v>49.01</v>
      </c>
      <c r="N31" s="1113">
        <f t="shared" si="6"/>
        <v>2.5877279999999998</v>
      </c>
      <c r="O31" s="404">
        <f t="shared" si="7"/>
        <v>49.01</v>
      </c>
      <c r="P31" s="1113">
        <f t="shared" si="6"/>
        <v>2.5877279999999998</v>
      </c>
      <c r="Q31" s="404">
        <f t="shared" si="8"/>
        <v>49.01</v>
      </c>
      <c r="R31" s="1113">
        <f t="shared" si="6"/>
        <v>2.5877279999999998</v>
      </c>
      <c r="S31" s="404">
        <f t="shared" si="9"/>
        <v>49.01</v>
      </c>
      <c r="T31" s="1113">
        <f t="shared" si="6"/>
        <v>2.5877279999999998</v>
      </c>
    </row>
    <row r="32" spans="1:31">
      <c r="A32" s="211">
        <v>19</v>
      </c>
      <c r="B32" s="369" t="s">
        <v>547</v>
      </c>
      <c r="C32" s="482">
        <v>5.28E-2</v>
      </c>
      <c r="D32" s="443">
        <v>24.97</v>
      </c>
      <c r="E32" s="484">
        <v>24.4</v>
      </c>
      <c r="F32" s="481">
        <f t="shared" si="0"/>
        <v>1.3033679999999999</v>
      </c>
      <c r="G32" s="361">
        <v>24.4</v>
      </c>
      <c r="H32" s="481">
        <f t="shared" si="1"/>
        <v>1.2883199999999999</v>
      </c>
      <c r="I32" s="481">
        <v>24.4</v>
      </c>
      <c r="J32" s="481">
        <f t="shared" si="2"/>
        <v>1.2883199999999999</v>
      </c>
      <c r="K32" s="404">
        <f t="shared" si="3"/>
        <v>24.4</v>
      </c>
      <c r="L32" s="404">
        <f t="shared" si="4"/>
        <v>1.2883199999999999</v>
      </c>
      <c r="M32" s="404">
        <f t="shared" si="5"/>
        <v>24.4</v>
      </c>
      <c r="N32" s="1113">
        <f t="shared" si="6"/>
        <v>1.2883199999999999</v>
      </c>
      <c r="O32" s="404">
        <f t="shared" si="7"/>
        <v>24.4</v>
      </c>
      <c r="P32" s="1113">
        <f t="shared" si="6"/>
        <v>1.2883199999999999</v>
      </c>
      <c r="Q32" s="404">
        <f t="shared" si="8"/>
        <v>24.4</v>
      </c>
      <c r="R32" s="1113">
        <f t="shared" si="6"/>
        <v>1.2883199999999999</v>
      </c>
      <c r="S32" s="404">
        <f t="shared" si="9"/>
        <v>24.4</v>
      </c>
      <c r="T32" s="1113">
        <f t="shared" si="6"/>
        <v>1.2883199999999999</v>
      </c>
    </row>
    <row r="33" spans="1:20" ht="24">
      <c r="A33" s="211">
        <v>20</v>
      </c>
      <c r="B33" s="369" t="s">
        <v>548</v>
      </c>
      <c r="C33" s="482">
        <v>6.3299999999999995E-2</v>
      </c>
      <c r="D33" s="443">
        <v>2.37</v>
      </c>
      <c r="E33" s="361">
        <v>2.1800000000000002</v>
      </c>
      <c r="F33" s="481">
        <f t="shared" si="0"/>
        <v>0.14400750000000001</v>
      </c>
      <c r="G33" s="361">
        <v>2.72</v>
      </c>
      <c r="H33" s="481">
        <f t="shared" si="1"/>
        <v>0.155085</v>
      </c>
      <c r="I33" s="481">
        <v>4.78</v>
      </c>
      <c r="J33" s="481">
        <f t="shared" si="2"/>
        <v>0.23737499999999997</v>
      </c>
      <c r="K33" s="404">
        <f t="shared" si="3"/>
        <v>7.68</v>
      </c>
      <c r="L33" s="404">
        <f t="shared" si="4"/>
        <v>0.39435900000000002</v>
      </c>
      <c r="M33" s="404">
        <f t="shared" si="5"/>
        <v>8.68</v>
      </c>
      <c r="N33" s="1113">
        <f t="shared" si="6"/>
        <v>0.51779399999999998</v>
      </c>
      <c r="O33" s="404">
        <f t="shared" si="7"/>
        <v>8.68</v>
      </c>
      <c r="P33" s="1113">
        <f t="shared" si="6"/>
        <v>0.54944399999999993</v>
      </c>
      <c r="Q33" s="404">
        <f t="shared" si="8"/>
        <v>8.68</v>
      </c>
      <c r="R33" s="1113">
        <f t="shared" si="6"/>
        <v>0.54944399999999993</v>
      </c>
      <c r="S33" s="404">
        <f t="shared" si="9"/>
        <v>8.68</v>
      </c>
      <c r="T33" s="1113">
        <f t="shared" si="6"/>
        <v>0.54944399999999993</v>
      </c>
    </row>
    <row r="34" spans="1:20">
      <c r="A34" s="211">
        <v>21</v>
      </c>
      <c r="B34" s="369" t="s">
        <v>549</v>
      </c>
      <c r="C34" s="482">
        <v>5.28E-2</v>
      </c>
      <c r="D34" s="443">
        <v>3.48</v>
      </c>
      <c r="E34" s="361">
        <v>3.99</v>
      </c>
      <c r="F34" s="481">
        <f t="shared" si="0"/>
        <v>0.19720800000000002</v>
      </c>
      <c r="G34" s="361">
        <v>4.5</v>
      </c>
      <c r="H34" s="481">
        <f t="shared" si="1"/>
        <v>0.224136</v>
      </c>
      <c r="I34" s="481">
        <v>7.31</v>
      </c>
      <c r="J34" s="481">
        <f t="shared" si="2"/>
        <v>0.31178399999999995</v>
      </c>
      <c r="K34" s="404">
        <f t="shared" si="3"/>
        <v>12.309999999999999</v>
      </c>
      <c r="L34" s="404">
        <f t="shared" si="4"/>
        <v>0.51796799999999998</v>
      </c>
      <c r="M34" s="404">
        <f t="shared" si="5"/>
        <v>17.309999999999999</v>
      </c>
      <c r="N34" s="1113">
        <f t="shared" si="6"/>
        <v>0.78196799999999989</v>
      </c>
      <c r="O34" s="404">
        <f t="shared" si="7"/>
        <v>22.31</v>
      </c>
      <c r="P34" s="1113">
        <f t="shared" si="6"/>
        <v>1.045968</v>
      </c>
      <c r="Q34" s="404">
        <f t="shared" si="8"/>
        <v>22.31</v>
      </c>
      <c r="R34" s="1113">
        <f t="shared" si="6"/>
        <v>1.1779679999999999</v>
      </c>
      <c r="S34" s="404">
        <f t="shared" si="9"/>
        <v>22.31</v>
      </c>
      <c r="T34" s="1113">
        <f t="shared" si="6"/>
        <v>1.1779679999999999</v>
      </c>
    </row>
    <row r="35" spans="1:20">
      <c r="A35" s="211">
        <v>22</v>
      </c>
      <c r="B35" s="473" t="s">
        <v>745</v>
      </c>
      <c r="C35" s="482">
        <v>5.28E-2</v>
      </c>
      <c r="D35" s="443">
        <v>0</v>
      </c>
      <c r="E35" s="443">
        <v>0</v>
      </c>
      <c r="F35" s="481">
        <f t="shared" si="0"/>
        <v>0</v>
      </c>
      <c r="G35" s="361">
        <v>28.7</v>
      </c>
      <c r="H35" s="481">
        <f t="shared" si="1"/>
        <v>0.75768000000000002</v>
      </c>
      <c r="I35" s="481">
        <v>30.74</v>
      </c>
      <c r="J35" s="481">
        <f t="shared" si="2"/>
        <v>1.5692159999999999</v>
      </c>
      <c r="K35" s="404">
        <f t="shared" si="3"/>
        <v>30.74</v>
      </c>
      <c r="L35" s="404">
        <f t="shared" si="4"/>
        <v>1.6230719999999998</v>
      </c>
      <c r="M35" s="404">
        <f t="shared" si="5"/>
        <v>30.74</v>
      </c>
      <c r="N35" s="1113">
        <f t="shared" si="6"/>
        <v>1.6230719999999998</v>
      </c>
      <c r="O35" s="404">
        <f t="shared" si="7"/>
        <v>30.74</v>
      </c>
      <c r="P35" s="1113">
        <f t="shared" si="6"/>
        <v>1.6230719999999998</v>
      </c>
      <c r="Q35" s="404">
        <f t="shared" si="8"/>
        <v>30.74</v>
      </c>
      <c r="R35" s="1113">
        <f t="shared" si="6"/>
        <v>1.6230719999999998</v>
      </c>
      <c r="S35" s="404">
        <f t="shared" si="9"/>
        <v>30.74</v>
      </c>
      <c r="T35" s="1113">
        <f t="shared" si="6"/>
        <v>1.6230719999999998</v>
      </c>
    </row>
    <row r="36" spans="1:20" ht="56.25" customHeight="1">
      <c r="A36" s="211">
        <v>23</v>
      </c>
      <c r="B36" s="205" t="s">
        <v>853</v>
      </c>
      <c r="C36" s="485" t="s">
        <v>855</v>
      </c>
      <c r="D36" s="442">
        <v>1516.8700000000001</v>
      </c>
      <c r="E36" s="442">
        <v>1560.15</v>
      </c>
      <c r="F36" s="748">
        <f>SUM(F14:F35)/SUM(D14:D35)*D36</f>
        <v>79.403129484773459</v>
      </c>
      <c r="G36" s="442">
        <v>1587.56</v>
      </c>
      <c r="H36" s="486">
        <f>SUM(H14:H35)/SUM(G14:G35)*G36</f>
        <v>80.483059957145812</v>
      </c>
      <c r="I36" s="481">
        <v>1548.51</v>
      </c>
      <c r="J36" s="481">
        <f>SUM(J14:J35)/SUM(I14:I35)*I36</f>
        <v>78.735922328910846</v>
      </c>
      <c r="K36" s="404">
        <f>I36</f>
        <v>1548.51</v>
      </c>
      <c r="L36" s="1112">
        <f>(SUM(L14:L35)/(K38-K36))*K36</f>
        <v>80.043215754181915</v>
      </c>
      <c r="M36" s="404">
        <f>K36</f>
        <v>1548.51</v>
      </c>
      <c r="N36" s="404">
        <f>(SUM(N14:N35)/(M38-M36))*M36</f>
        <v>79.990332675920811</v>
      </c>
      <c r="O36" s="404">
        <f>M36</f>
        <v>1548.51</v>
      </c>
      <c r="P36" s="404">
        <f>(SUM(P14:P35)/(O38-O36))*O36</f>
        <v>80.039614607076615</v>
      </c>
      <c r="Q36" s="404">
        <f>O36</f>
        <v>1548.51</v>
      </c>
      <c r="R36" s="404">
        <f>(SUM(R14:R35)/(Q38-Q36))*Q36</f>
        <v>80.109062376480679</v>
      </c>
      <c r="S36" s="404">
        <f>Q36</f>
        <v>1548.51</v>
      </c>
      <c r="T36" s="404">
        <f>(SUM(T14:T35)/(S38-S36))*S36</f>
        <v>80.109062376480679</v>
      </c>
    </row>
    <row r="37" spans="1:20" ht="12" customHeight="1">
      <c r="A37" s="211">
        <v>24</v>
      </c>
      <c r="B37" s="333" t="s">
        <v>854</v>
      </c>
      <c r="C37" s="442"/>
      <c r="D37" s="442">
        <f>SUM(D14:D36)</f>
        <v>7884.6799999999985</v>
      </c>
      <c r="E37" s="748">
        <f>SUM(E14:E36)</f>
        <v>8034.6400000000012</v>
      </c>
      <c r="F37" s="748">
        <f>SUM(F14:F35)+F36</f>
        <v>412.7369299847735</v>
      </c>
      <c r="G37" s="442">
        <f>SUM(G14:G36)</f>
        <v>8367.76</v>
      </c>
      <c r="H37" s="748">
        <f>SUM(H14:H35)+H36</f>
        <v>424.21258395714585</v>
      </c>
      <c r="I37" s="748">
        <f>SUM(I14:I36)</f>
        <v>8580.02</v>
      </c>
      <c r="J37" s="748">
        <f t="shared" ref="J37:T37" si="10">SUM(J14:J36)</f>
        <v>436.26181832891075</v>
      </c>
      <c r="K37" s="748">
        <f t="shared" si="10"/>
        <v>8794.7780000000021</v>
      </c>
      <c r="L37" s="748">
        <f t="shared" si="10"/>
        <v>449.05577135418196</v>
      </c>
      <c r="M37" s="748">
        <f t="shared" si="10"/>
        <v>8952.4080000000013</v>
      </c>
      <c r="N37" s="404">
        <f t="shared" si="10"/>
        <v>458.37718587592082</v>
      </c>
      <c r="O37" s="748">
        <f t="shared" si="10"/>
        <v>9775.5880000000016</v>
      </c>
      <c r="P37" s="404">
        <f t="shared" si="10"/>
        <v>484.00771780707669</v>
      </c>
      <c r="Q37" s="748">
        <f t="shared" si="10"/>
        <v>9775.5880000000016</v>
      </c>
      <c r="R37" s="404">
        <f t="shared" si="10"/>
        <v>505.72045957648066</v>
      </c>
      <c r="S37" s="748">
        <f t="shared" si="10"/>
        <v>9775.5880000000016</v>
      </c>
      <c r="T37" s="404">
        <f t="shared" si="10"/>
        <v>505.72045957648066</v>
      </c>
    </row>
    <row r="38" spans="1:20">
      <c r="A38" s="211">
        <v>25</v>
      </c>
      <c r="B38" s="333" t="s">
        <v>857</v>
      </c>
      <c r="C38" s="442"/>
      <c r="D38" s="1691">
        <f>AVERAGE(D37,E37)</f>
        <v>7959.66</v>
      </c>
      <c r="E38" s="1520"/>
      <c r="F38" s="487">
        <f>F37/D38</f>
        <v>5.1853587965412277E-2</v>
      </c>
      <c r="G38" s="442">
        <f>AVERAGE(E37,G37)</f>
        <v>8201.2000000000007</v>
      </c>
      <c r="H38" s="487">
        <f>H37/G38</f>
        <v>5.1725672335407723E-2</v>
      </c>
      <c r="I38" s="748">
        <f>AVERAGE(G37,I37)</f>
        <v>8473.89</v>
      </c>
      <c r="J38" s="1111">
        <f>J37/I38</f>
        <v>5.1483063661306762E-2</v>
      </c>
      <c r="K38" s="404">
        <f>AVERAGE(I37,K37)</f>
        <v>8687.3990000000013</v>
      </c>
      <c r="L38" s="1111">
        <f>L37/K38</f>
        <v>5.1690473909875891E-2</v>
      </c>
      <c r="M38" s="404">
        <f>AVERAGE(K37,M37)</f>
        <v>8873.5930000000008</v>
      </c>
      <c r="N38" s="1111">
        <f>N37/M38</f>
        <v>5.1656322965896763E-2</v>
      </c>
      <c r="O38" s="404">
        <f>AVERAGE(M37,O37)</f>
        <v>9363.9980000000014</v>
      </c>
      <c r="P38" s="1111">
        <f>P37/O38</f>
        <v>5.1688148353628081E-2</v>
      </c>
      <c r="Q38" s="404">
        <f>AVERAGE(O37,Q37)</f>
        <v>9775.5880000000016</v>
      </c>
      <c r="R38" s="1111">
        <f>R37/Q38</f>
        <v>5.1732996478214978E-2</v>
      </c>
      <c r="S38" s="404">
        <f>AVERAGE(Q37,S37)</f>
        <v>9775.5880000000016</v>
      </c>
      <c r="T38" s="1111">
        <f>T37/S38</f>
        <v>5.1732996478214978E-2</v>
      </c>
    </row>
    <row r="39" spans="1:20">
      <c r="A39" s="213"/>
      <c r="B39" s="207"/>
      <c r="C39" s="207"/>
      <c r="D39" s="207"/>
      <c r="E39" s="1513"/>
      <c r="F39" s="1513"/>
      <c r="G39" s="1513"/>
      <c r="H39" s="1513"/>
      <c r="I39" s="1513"/>
      <c r="J39" s="1513"/>
      <c r="T39" s="198"/>
    </row>
    <row r="40" spans="1:20">
      <c r="A40" s="478"/>
      <c r="B40" s="193"/>
      <c r="C40" s="193"/>
      <c r="D40" s="207"/>
      <c r="E40" s="1513"/>
      <c r="F40" s="1513"/>
      <c r="G40" s="1513"/>
      <c r="H40" s="1513"/>
      <c r="I40" s="1513"/>
      <c r="J40" s="1513"/>
      <c r="T40" s="198"/>
    </row>
    <row r="41" spans="1:20" ht="21" customHeight="1">
      <c r="A41" s="1512"/>
      <c r="B41" s="1114" t="s">
        <v>1253</v>
      </c>
      <c r="C41" s="1114"/>
      <c r="D41" s="1114"/>
      <c r="E41" s="1114"/>
      <c r="F41" s="1114"/>
      <c r="G41" s="1114"/>
      <c r="H41" s="1114"/>
      <c r="I41" s="1114"/>
      <c r="J41" s="1114"/>
      <c r="K41" s="1115"/>
      <c r="L41" s="1115"/>
      <c r="M41" s="1115"/>
      <c r="N41" s="1115"/>
      <c r="T41" s="198"/>
    </row>
    <row r="42" spans="1:20">
      <c r="A42" s="1512"/>
      <c r="B42" s="1564"/>
      <c r="C42" s="1564"/>
      <c r="D42" s="1564"/>
      <c r="E42" s="1564"/>
      <c r="F42" s="1564"/>
      <c r="G42" s="1564"/>
      <c r="H42" s="1564"/>
      <c r="I42" s="1564"/>
      <c r="J42" s="1564"/>
      <c r="T42" s="198"/>
    </row>
    <row r="43" spans="1:20">
      <c r="A43" s="478"/>
      <c r="D43" s="215"/>
      <c r="E43" s="215"/>
      <c r="F43" s="215"/>
      <c r="G43" s="215"/>
      <c r="H43" s="215"/>
      <c r="I43" s="215"/>
      <c r="J43" s="215"/>
      <c r="T43" s="198"/>
    </row>
    <row r="44" spans="1:20">
      <c r="A44" s="196"/>
      <c r="R44" s="1697" t="s">
        <v>822</v>
      </c>
      <c r="S44" s="1697"/>
      <c r="T44" s="198"/>
    </row>
    <row r="45" spans="1:20">
      <c r="A45" s="196"/>
      <c r="E45" s="215"/>
      <c r="F45" s="215"/>
      <c r="G45" s="215"/>
      <c r="H45" s="215"/>
      <c r="I45" s="215"/>
      <c r="J45" s="215"/>
      <c r="T45" s="198"/>
    </row>
    <row r="46" spans="1:20" ht="15.75" thickBot="1">
      <c r="A46" s="199"/>
      <c r="B46" s="191"/>
      <c r="C46" s="191"/>
      <c r="D46" s="191"/>
      <c r="E46" s="191"/>
      <c r="F46" s="191"/>
      <c r="G46" s="191"/>
      <c r="H46" s="191"/>
      <c r="I46" s="191"/>
      <c r="J46" s="191"/>
      <c r="K46" s="191"/>
      <c r="L46" s="191"/>
      <c r="M46" s="191"/>
      <c r="N46" s="191"/>
      <c r="O46" s="191"/>
      <c r="P46" s="191"/>
      <c r="Q46" s="191"/>
      <c r="R46" s="191"/>
      <c r="S46" s="191"/>
      <c r="T46" s="214"/>
    </row>
    <row r="48" spans="1:20">
      <c r="L48" s="1084">
        <f>K37-I37</f>
        <v>214.75800000000163</v>
      </c>
      <c r="M48" s="1084">
        <f>M37-K37</f>
        <v>157.6299999999992</v>
      </c>
      <c r="N48" s="1084">
        <f>O37-M37</f>
        <v>823.18000000000029</v>
      </c>
    </row>
    <row r="50" spans="11:22" hidden="1">
      <c r="U50" s="1084"/>
    </row>
    <row r="51" spans="11:22" hidden="1">
      <c r="L51" s="190">
        <v>5</v>
      </c>
      <c r="M51" s="190">
        <v>20</v>
      </c>
      <c r="N51" s="190">
        <v>2</v>
      </c>
      <c r="O51" s="190">
        <f>M51+N51</f>
        <v>22</v>
      </c>
      <c r="Q51" s="190">
        <f>SUMPRODUCT(L51:L53,O51:O53)/SUM(O51:O53)</f>
        <v>4.3499999999999996</v>
      </c>
      <c r="S51" s="190">
        <f>M51*L51</f>
        <v>100</v>
      </c>
    </row>
    <row r="52" spans="11:22" ht="14.45" hidden="1" customHeight="1">
      <c r="L52" s="190">
        <v>4</v>
      </c>
      <c r="M52" s="190">
        <v>50</v>
      </c>
      <c r="N52" s="190">
        <v>5</v>
      </c>
      <c r="O52" s="190">
        <f>M52+N52</f>
        <v>55</v>
      </c>
      <c r="S52" s="190">
        <f>M52*L52</f>
        <v>200</v>
      </c>
    </row>
    <row r="53" spans="11:22" hidden="1">
      <c r="L53" s="190">
        <v>4.5</v>
      </c>
      <c r="M53" s="190">
        <v>30</v>
      </c>
      <c r="N53" s="190">
        <v>3</v>
      </c>
      <c r="O53" s="190">
        <f>M53+N53</f>
        <v>33</v>
      </c>
      <c r="S53" s="190">
        <f>M53*L53</f>
        <v>135</v>
      </c>
    </row>
    <row r="54" spans="11:22" hidden="1"/>
    <row r="55" spans="11:22" hidden="1"/>
    <row r="56" spans="11:22" ht="14.45" hidden="1" customHeight="1">
      <c r="L56" s="190">
        <f>SUMPRODUCT(L51:L53,M51:M53)/SUM(M51:M53)</f>
        <v>4.3499999999999996</v>
      </c>
      <c r="M56" s="190">
        <v>10</v>
      </c>
      <c r="S56" s="190">
        <f>M56*L56</f>
        <v>43.5</v>
      </c>
    </row>
    <row r="57" spans="11:22" hidden="1"/>
    <row r="58" spans="11:22" hidden="1"/>
    <row r="59" spans="11:22" hidden="1">
      <c r="S59" s="190">
        <f>S51+S52+S53+S56</f>
        <v>478.5</v>
      </c>
    </row>
    <row r="60" spans="11:22" hidden="1">
      <c r="S60" s="190">
        <f>S59/(M51+M52+M53+M56)</f>
        <v>4.3499999999999996</v>
      </c>
    </row>
    <row r="61" spans="11:22" hidden="1"/>
    <row r="64" spans="11:22" ht="16.5">
      <c r="K64" s="1086" t="s">
        <v>1228</v>
      </c>
      <c r="L64" s="1086"/>
      <c r="M64" s="1086"/>
      <c r="N64" s="1086"/>
      <c r="O64" s="1086"/>
      <c r="P64" s="1086"/>
      <c r="Q64" s="1086"/>
      <c r="R64" s="1086"/>
      <c r="S64" s="1086"/>
      <c r="V64" s="1087"/>
    </row>
    <row r="65" spans="11:22" ht="24.6" customHeight="1">
      <c r="K65" s="1088"/>
      <c r="L65" s="1088"/>
      <c r="M65" s="1088"/>
      <c r="N65" s="1088"/>
      <c r="O65" s="1088"/>
      <c r="P65" s="1088"/>
      <c r="Q65" s="1088"/>
      <c r="R65" s="1089" t="s">
        <v>1186</v>
      </c>
      <c r="S65" s="1088"/>
      <c r="V65" s="1088"/>
    </row>
    <row r="66" spans="11:22" ht="42">
      <c r="K66" s="1090" t="s">
        <v>1187</v>
      </c>
      <c r="L66" s="1090" t="s">
        <v>1188</v>
      </c>
      <c r="M66" s="1091" t="s">
        <v>1016</v>
      </c>
      <c r="N66" s="1091" t="s">
        <v>1017</v>
      </c>
      <c r="O66" s="1091" t="s">
        <v>1018</v>
      </c>
      <c r="P66" s="1091" t="s">
        <v>1019</v>
      </c>
      <c r="Q66" s="1091" t="s">
        <v>1020</v>
      </c>
      <c r="R66" s="1090" t="s">
        <v>458</v>
      </c>
      <c r="S66" s="1092" t="s">
        <v>1221</v>
      </c>
      <c r="V66" s="1088"/>
    </row>
    <row r="67" spans="11:22" ht="66">
      <c r="K67" s="1090">
        <v>1</v>
      </c>
      <c r="L67" s="1093" t="s">
        <v>1189</v>
      </c>
      <c r="M67" s="1090">
        <v>0</v>
      </c>
      <c r="N67" s="1090">
        <v>0</v>
      </c>
      <c r="O67" s="1090">
        <v>645.32000000000005</v>
      </c>
      <c r="P67" s="1090">
        <v>0</v>
      </c>
      <c r="Q67" s="1090">
        <v>0</v>
      </c>
      <c r="R67" s="1090">
        <v>645.32000000000005</v>
      </c>
      <c r="S67" s="1094" t="s">
        <v>709</v>
      </c>
      <c r="V67" s="1088"/>
    </row>
    <row r="68" spans="11:22" ht="66">
      <c r="K68" s="1090">
        <v>2</v>
      </c>
      <c r="L68" s="1090" t="s">
        <v>1190</v>
      </c>
      <c r="M68" s="1090">
        <v>0</v>
      </c>
      <c r="N68" s="1090">
        <v>19</v>
      </c>
      <c r="O68" s="1090">
        <v>19</v>
      </c>
      <c r="P68" s="1090">
        <v>0</v>
      </c>
      <c r="Q68" s="1090">
        <v>0</v>
      </c>
      <c r="R68" s="1090">
        <v>38</v>
      </c>
      <c r="S68" s="1095" t="s">
        <v>707</v>
      </c>
      <c r="V68" s="1088"/>
    </row>
    <row r="69" spans="11:22" ht="49.5">
      <c r="K69" s="1090">
        <v>3</v>
      </c>
      <c r="L69" s="1093" t="s">
        <v>1191</v>
      </c>
      <c r="M69" s="1090">
        <v>153.1</v>
      </c>
      <c r="N69" s="1090">
        <v>82.95</v>
      </c>
      <c r="O69" s="1090">
        <v>65.12</v>
      </c>
      <c r="P69" s="1090">
        <v>0</v>
      </c>
      <c r="Q69" s="1090">
        <v>0</v>
      </c>
      <c r="R69" s="1090">
        <v>301.18</v>
      </c>
      <c r="S69" s="1095" t="s">
        <v>707</v>
      </c>
      <c r="V69" s="1088"/>
    </row>
    <row r="70" spans="11:22" ht="33">
      <c r="K70" s="1090">
        <v>4</v>
      </c>
      <c r="L70" s="1093" t="s">
        <v>1192</v>
      </c>
      <c r="M70" s="1090">
        <v>26.94</v>
      </c>
      <c r="N70" s="1090">
        <v>24.5</v>
      </c>
      <c r="O70" s="1090">
        <v>79.599999999999994</v>
      </c>
      <c r="P70" s="1090">
        <v>0</v>
      </c>
      <c r="Q70" s="1090">
        <v>0</v>
      </c>
      <c r="R70" s="1090">
        <v>131.03</v>
      </c>
      <c r="S70" s="1095" t="s">
        <v>1222</v>
      </c>
      <c r="V70" s="1088"/>
    </row>
    <row r="71" spans="11:22" ht="33">
      <c r="K71" s="1090">
        <v>5</v>
      </c>
      <c r="L71" s="1093" t="s">
        <v>1193</v>
      </c>
      <c r="M71" s="1090"/>
      <c r="N71" s="1090"/>
      <c r="O71" s="1090"/>
      <c r="P71" s="1090"/>
      <c r="Q71" s="1090"/>
      <c r="R71" s="1090"/>
      <c r="S71" s="1096"/>
      <c r="V71" s="1088"/>
    </row>
    <row r="72" spans="11:22" ht="71.25">
      <c r="K72" s="1097" t="s">
        <v>1229</v>
      </c>
      <c r="L72" s="1097" t="s">
        <v>1195</v>
      </c>
      <c r="M72" s="1098">
        <v>1.6</v>
      </c>
      <c r="N72" s="1098">
        <v>0</v>
      </c>
      <c r="O72" s="1098">
        <v>0</v>
      </c>
      <c r="P72" s="1098">
        <v>0</v>
      </c>
      <c r="Q72" s="1098">
        <v>0</v>
      </c>
      <c r="R72" s="1098">
        <f>SUM(M72:Q72)</f>
        <v>1.6</v>
      </c>
      <c r="S72" s="1085" t="s">
        <v>1223</v>
      </c>
      <c r="V72" s="1099"/>
    </row>
    <row r="73" spans="11:22" ht="42.75">
      <c r="K73" s="1097" t="s">
        <v>1230</v>
      </c>
      <c r="L73" s="1085" t="s">
        <v>1196</v>
      </c>
      <c r="M73" s="1098">
        <v>0.95</v>
      </c>
      <c r="N73" s="1098">
        <v>0</v>
      </c>
      <c r="O73" s="1098">
        <v>0</v>
      </c>
      <c r="P73" s="1098">
        <v>0</v>
      </c>
      <c r="Q73" s="1098">
        <v>0</v>
      </c>
      <c r="R73" s="1098">
        <f t="shared" ref="R73:R89" si="11">SUM(M73:Q73)</f>
        <v>0.95</v>
      </c>
      <c r="S73" s="1085" t="s">
        <v>1223</v>
      </c>
      <c r="V73" s="1099"/>
    </row>
    <row r="74" spans="11:22" ht="57">
      <c r="K74" s="1097" t="s">
        <v>1231</v>
      </c>
      <c r="L74" s="1097" t="s">
        <v>1197</v>
      </c>
      <c r="M74" s="1098">
        <v>0.5</v>
      </c>
      <c r="N74" s="1098">
        <v>0.5</v>
      </c>
      <c r="O74" s="1098">
        <v>0</v>
      </c>
      <c r="P74" s="1098">
        <v>0</v>
      </c>
      <c r="Q74" s="1098">
        <v>0</v>
      </c>
      <c r="R74" s="1098">
        <f t="shared" si="11"/>
        <v>1</v>
      </c>
      <c r="S74" s="1085" t="s">
        <v>744</v>
      </c>
      <c r="V74" s="1099"/>
    </row>
    <row r="75" spans="11:22" ht="99.75">
      <c r="K75" s="1097" t="s">
        <v>1232</v>
      </c>
      <c r="L75" s="1097" t="s">
        <v>1198</v>
      </c>
      <c r="M75" s="1098">
        <v>0.5</v>
      </c>
      <c r="N75" s="1098">
        <v>0.5</v>
      </c>
      <c r="O75" s="1098">
        <v>0</v>
      </c>
      <c r="P75" s="1098">
        <v>0</v>
      </c>
      <c r="Q75" s="1098">
        <v>0</v>
      </c>
      <c r="R75" s="1098">
        <f t="shared" si="11"/>
        <v>1</v>
      </c>
      <c r="S75" s="1085" t="s">
        <v>1224</v>
      </c>
      <c r="V75" s="1099"/>
    </row>
    <row r="76" spans="11:22" ht="85.5">
      <c r="K76" s="1097" t="s">
        <v>1233</v>
      </c>
      <c r="L76" s="1097" t="s">
        <v>1199</v>
      </c>
      <c r="M76" s="1098">
        <v>0.5</v>
      </c>
      <c r="N76" s="1098">
        <v>0.5</v>
      </c>
      <c r="O76" s="1098">
        <v>0</v>
      </c>
      <c r="P76" s="1098">
        <v>0</v>
      </c>
      <c r="Q76" s="1098">
        <v>0</v>
      </c>
      <c r="R76" s="1098">
        <f t="shared" si="11"/>
        <v>1</v>
      </c>
      <c r="S76" s="1085" t="s">
        <v>744</v>
      </c>
      <c r="V76" s="1099"/>
    </row>
    <row r="77" spans="11:22" ht="57">
      <c r="K77" s="1097" t="s">
        <v>1234</v>
      </c>
      <c r="L77" s="1097" t="s">
        <v>1200</v>
      </c>
      <c r="M77" s="1098">
        <v>1.1499999999999999</v>
      </c>
      <c r="N77" s="1098">
        <v>0</v>
      </c>
      <c r="O77" s="1098">
        <v>0</v>
      </c>
      <c r="P77" s="1098">
        <v>0</v>
      </c>
      <c r="Q77" s="1098">
        <v>0</v>
      </c>
      <c r="R77" s="1098">
        <f t="shared" si="11"/>
        <v>1.1499999999999999</v>
      </c>
      <c r="S77" s="1085" t="s">
        <v>1225</v>
      </c>
      <c r="V77" s="1099"/>
    </row>
    <row r="78" spans="11:22" ht="57">
      <c r="K78" s="1097" t="s">
        <v>1235</v>
      </c>
      <c r="L78" s="1097" t="s">
        <v>1201</v>
      </c>
      <c r="M78" s="1098">
        <v>4</v>
      </c>
      <c r="N78" s="1098">
        <v>1.86</v>
      </c>
      <c r="O78" s="1098">
        <v>0</v>
      </c>
      <c r="P78" s="1098">
        <v>0</v>
      </c>
      <c r="Q78" s="1098">
        <v>0</v>
      </c>
      <c r="R78" s="1098">
        <f t="shared" si="11"/>
        <v>5.86</v>
      </c>
      <c r="S78" s="1085" t="s">
        <v>1225</v>
      </c>
      <c r="V78" s="1099"/>
    </row>
    <row r="79" spans="11:22" ht="57">
      <c r="K79" s="1097" t="s">
        <v>1236</v>
      </c>
      <c r="L79" s="1097" t="s">
        <v>1202</v>
      </c>
      <c r="M79" s="1098">
        <v>3</v>
      </c>
      <c r="N79" s="1098">
        <v>4</v>
      </c>
      <c r="O79" s="1098">
        <v>3</v>
      </c>
      <c r="P79" s="1098">
        <v>0</v>
      </c>
      <c r="Q79" s="1098">
        <v>0</v>
      </c>
      <c r="R79" s="1098">
        <f t="shared" si="11"/>
        <v>10</v>
      </c>
      <c r="S79" s="1085" t="s">
        <v>1225</v>
      </c>
      <c r="V79" s="1099"/>
    </row>
    <row r="80" spans="11:22" ht="99.75">
      <c r="K80" s="1097" t="s">
        <v>1237</v>
      </c>
      <c r="L80" s="1097" t="s">
        <v>1203</v>
      </c>
      <c r="M80" s="1098">
        <v>5</v>
      </c>
      <c r="N80" s="1098">
        <v>5</v>
      </c>
      <c r="O80" s="1098">
        <v>5</v>
      </c>
      <c r="P80" s="1098">
        <v>0</v>
      </c>
      <c r="Q80" s="1098">
        <v>0</v>
      </c>
      <c r="R80" s="1098">
        <f t="shared" si="11"/>
        <v>15</v>
      </c>
      <c r="S80" s="1085" t="s">
        <v>549</v>
      </c>
      <c r="V80" s="1099"/>
    </row>
    <row r="81" spans="11:22" ht="57">
      <c r="K81" s="1097" t="s">
        <v>1238</v>
      </c>
      <c r="L81" s="1085" t="s">
        <v>1204</v>
      </c>
      <c r="M81" s="1098">
        <v>0</v>
      </c>
      <c r="N81" s="1098">
        <v>1.62</v>
      </c>
      <c r="O81" s="1098">
        <v>0</v>
      </c>
      <c r="P81" s="1098">
        <v>0</v>
      </c>
      <c r="Q81" s="1098">
        <v>0</v>
      </c>
      <c r="R81" s="1098">
        <f t="shared" si="11"/>
        <v>1.62</v>
      </c>
      <c r="S81" s="1085" t="s">
        <v>1225</v>
      </c>
      <c r="V81" s="1099"/>
    </row>
    <row r="82" spans="11:22" ht="85.5">
      <c r="K82" s="1097" t="s">
        <v>1239</v>
      </c>
      <c r="L82" s="1085" t="s">
        <v>1205</v>
      </c>
      <c r="M82" s="1098">
        <v>0</v>
      </c>
      <c r="N82" s="1098">
        <v>3</v>
      </c>
      <c r="O82" s="1098">
        <v>0</v>
      </c>
      <c r="P82" s="1098">
        <v>0</v>
      </c>
      <c r="Q82" s="1098">
        <v>0</v>
      </c>
      <c r="R82" s="1098">
        <f t="shared" si="11"/>
        <v>3</v>
      </c>
      <c r="S82" s="1085" t="s">
        <v>1225</v>
      </c>
      <c r="V82" s="1099"/>
    </row>
    <row r="83" spans="11:22" ht="85.5">
      <c r="K83" s="1097" t="s">
        <v>1240</v>
      </c>
      <c r="L83" s="1085" t="s">
        <v>1206</v>
      </c>
      <c r="M83" s="1098">
        <v>0.6</v>
      </c>
      <c r="N83" s="1098">
        <v>0.6</v>
      </c>
      <c r="O83" s="1098">
        <v>0</v>
      </c>
      <c r="P83" s="1098">
        <v>0</v>
      </c>
      <c r="Q83" s="1098">
        <v>0</v>
      </c>
      <c r="R83" s="1098">
        <f t="shared" si="11"/>
        <v>1.2</v>
      </c>
      <c r="S83" s="1100" t="s">
        <v>709</v>
      </c>
      <c r="V83" s="1099"/>
    </row>
    <row r="84" spans="11:22" ht="71.25">
      <c r="K84" s="1097" t="s">
        <v>1241</v>
      </c>
      <c r="L84" s="1085" t="s">
        <v>1207</v>
      </c>
      <c r="M84" s="1098">
        <v>0.6</v>
      </c>
      <c r="N84" s="1098">
        <v>0.4</v>
      </c>
      <c r="O84" s="1098">
        <v>0</v>
      </c>
      <c r="P84" s="1098">
        <v>0</v>
      </c>
      <c r="Q84" s="1098">
        <v>0</v>
      </c>
      <c r="R84" s="1098">
        <f t="shared" si="11"/>
        <v>1</v>
      </c>
      <c r="S84" s="1100" t="s">
        <v>709</v>
      </c>
      <c r="V84" s="1099"/>
    </row>
    <row r="85" spans="11:22" ht="42.75">
      <c r="K85" s="1097" t="s">
        <v>691</v>
      </c>
      <c r="L85" s="1085" t="s">
        <v>1208</v>
      </c>
      <c r="M85" s="1098">
        <v>0.63</v>
      </c>
      <c r="N85" s="1098">
        <v>0</v>
      </c>
      <c r="O85" s="1098">
        <v>0</v>
      </c>
      <c r="P85" s="1098">
        <v>0</v>
      </c>
      <c r="Q85" s="1098">
        <v>0</v>
      </c>
      <c r="R85" s="1098">
        <f t="shared" si="11"/>
        <v>0.63</v>
      </c>
      <c r="S85" s="1085" t="s">
        <v>1225</v>
      </c>
      <c r="V85" s="1099"/>
    </row>
    <row r="86" spans="11:22" ht="199.5">
      <c r="K86" s="1097" t="s">
        <v>1242</v>
      </c>
      <c r="L86" s="1085" t="s">
        <v>1209</v>
      </c>
      <c r="M86" s="1098">
        <v>1.5</v>
      </c>
      <c r="N86" s="1098">
        <v>1.5</v>
      </c>
      <c r="O86" s="1098">
        <v>0</v>
      </c>
      <c r="P86" s="1098">
        <v>0</v>
      </c>
      <c r="Q86" s="1098">
        <v>0</v>
      </c>
      <c r="R86" s="1098">
        <f t="shared" si="11"/>
        <v>3</v>
      </c>
      <c r="S86" s="1085" t="s">
        <v>1225</v>
      </c>
      <c r="V86" s="1099"/>
    </row>
    <row r="87" spans="11:22" ht="71.25">
      <c r="K87" s="1097" t="s">
        <v>1243</v>
      </c>
      <c r="L87" s="1085" t="s">
        <v>1210</v>
      </c>
      <c r="M87" s="1098">
        <v>1</v>
      </c>
      <c r="N87" s="1098">
        <v>0.5</v>
      </c>
      <c r="O87" s="1098">
        <v>0</v>
      </c>
      <c r="P87" s="1098">
        <v>0</v>
      </c>
      <c r="Q87" s="1098">
        <v>0</v>
      </c>
      <c r="R87" s="1098">
        <f t="shared" si="11"/>
        <v>1.5</v>
      </c>
      <c r="S87" s="1085" t="s">
        <v>1225</v>
      </c>
      <c r="V87" s="1099"/>
    </row>
    <row r="88" spans="11:22" ht="57">
      <c r="K88" s="1097" t="s">
        <v>1244</v>
      </c>
      <c r="L88" s="1085" t="s">
        <v>1211</v>
      </c>
      <c r="M88" s="1098">
        <v>2.48</v>
      </c>
      <c r="N88" s="1098">
        <v>0</v>
      </c>
      <c r="O88" s="1098">
        <v>0</v>
      </c>
      <c r="P88" s="1098">
        <v>0</v>
      </c>
      <c r="Q88" s="1098">
        <v>0</v>
      </c>
      <c r="R88" s="1098">
        <f t="shared" si="11"/>
        <v>2.48</v>
      </c>
      <c r="S88" s="1085" t="s">
        <v>1225</v>
      </c>
      <c r="V88" s="1099"/>
    </row>
    <row r="89" spans="11:22" ht="114">
      <c r="K89" s="1097" t="s">
        <v>1245</v>
      </c>
      <c r="L89" s="1085" t="s">
        <v>1212</v>
      </c>
      <c r="M89" s="1098">
        <v>2.9</v>
      </c>
      <c r="N89" s="1098">
        <v>1</v>
      </c>
      <c r="O89" s="1098">
        <v>0</v>
      </c>
      <c r="P89" s="1098">
        <v>0</v>
      </c>
      <c r="Q89" s="1098">
        <v>0</v>
      </c>
      <c r="R89" s="1098">
        <f t="shared" si="11"/>
        <v>3.9</v>
      </c>
      <c r="S89" s="1085" t="s">
        <v>1226</v>
      </c>
      <c r="V89" s="1099"/>
    </row>
    <row r="90" spans="11:22" ht="49.5">
      <c r="K90" s="1090"/>
      <c r="L90" s="1093" t="s">
        <v>1227</v>
      </c>
      <c r="M90" s="1098">
        <f>SUM(M72:M89)</f>
        <v>26.91</v>
      </c>
      <c r="N90" s="1098">
        <f t="shared" ref="N90:R90" si="12">SUM(N72:N89)</f>
        <v>20.98</v>
      </c>
      <c r="O90" s="1098">
        <f t="shared" si="12"/>
        <v>8</v>
      </c>
      <c r="P90" s="1098">
        <f t="shared" si="12"/>
        <v>0</v>
      </c>
      <c r="Q90" s="1098">
        <f t="shared" si="12"/>
        <v>0</v>
      </c>
      <c r="R90" s="1098">
        <f t="shared" si="12"/>
        <v>55.89</v>
      </c>
      <c r="S90" s="1096"/>
      <c r="V90" s="1101"/>
    </row>
    <row r="91" spans="11:22" ht="33">
      <c r="K91" s="1090">
        <v>6</v>
      </c>
      <c r="L91" s="1090" t="s">
        <v>1194</v>
      </c>
      <c r="M91" s="1098"/>
      <c r="N91" s="1098"/>
      <c r="O91" s="1098"/>
      <c r="P91" s="1098"/>
      <c r="Q91" s="1098"/>
      <c r="R91" s="1098"/>
      <c r="S91" s="1096"/>
      <c r="V91" s="1101"/>
    </row>
    <row r="92" spans="11:22" ht="180">
      <c r="K92" s="1102" t="s">
        <v>1229</v>
      </c>
      <c r="L92" s="1100" t="s">
        <v>1213</v>
      </c>
      <c r="M92" s="1096">
        <v>2.5</v>
      </c>
      <c r="N92" s="1096">
        <v>3</v>
      </c>
      <c r="O92" s="1096">
        <v>3.64</v>
      </c>
      <c r="P92" s="1096">
        <v>0</v>
      </c>
      <c r="Q92" s="1096">
        <v>0</v>
      </c>
      <c r="R92" s="1098">
        <v>9.14</v>
      </c>
      <c r="S92" s="1085" t="s">
        <v>744</v>
      </c>
      <c r="V92" s="1103"/>
    </row>
    <row r="93" spans="11:22" ht="390">
      <c r="K93" s="1102" t="s">
        <v>1230</v>
      </c>
      <c r="L93" s="1100" t="s">
        <v>1214</v>
      </c>
      <c r="M93" s="1096">
        <v>3.1579999999999999</v>
      </c>
      <c r="N93" s="1096">
        <v>4</v>
      </c>
      <c r="O93" s="1096">
        <v>2.5</v>
      </c>
      <c r="P93" s="1096">
        <v>0</v>
      </c>
      <c r="Q93" s="1096">
        <v>0</v>
      </c>
      <c r="R93" s="1098">
        <v>9.6579999999999995</v>
      </c>
      <c r="S93" s="1085" t="s">
        <v>744</v>
      </c>
      <c r="V93" s="1103"/>
    </row>
    <row r="94" spans="11:22" ht="60">
      <c r="K94" s="1102" t="s">
        <v>1231</v>
      </c>
      <c r="L94" s="1102" t="s">
        <v>1215</v>
      </c>
      <c r="M94" s="1096">
        <v>0.25</v>
      </c>
      <c r="N94" s="1096">
        <v>0</v>
      </c>
      <c r="O94" s="1096">
        <v>0</v>
      </c>
      <c r="P94" s="1096">
        <v>0</v>
      </c>
      <c r="Q94" s="1096">
        <v>0</v>
      </c>
      <c r="R94" s="1098">
        <v>0.25</v>
      </c>
      <c r="S94" s="1085" t="s">
        <v>744</v>
      </c>
      <c r="V94" s="1103"/>
    </row>
    <row r="95" spans="11:22" ht="105">
      <c r="K95" s="1102" t="s">
        <v>1232</v>
      </c>
      <c r="L95" s="1100" t="s">
        <v>1216</v>
      </c>
      <c r="M95" s="1096">
        <v>0.6</v>
      </c>
      <c r="N95" s="1096">
        <v>0.4</v>
      </c>
      <c r="O95" s="1096">
        <v>0</v>
      </c>
      <c r="P95" s="1096">
        <v>0</v>
      </c>
      <c r="Q95" s="1096">
        <v>0</v>
      </c>
      <c r="R95" s="1098">
        <v>1</v>
      </c>
      <c r="S95" s="1085" t="s">
        <v>1223</v>
      </c>
      <c r="V95" s="1103"/>
    </row>
    <row r="96" spans="11:22" ht="75">
      <c r="K96" s="1102" t="s">
        <v>1233</v>
      </c>
      <c r="L96" s="1100" t="s">
        <v>1217</v>
      </c>
      <c r="M96" s="1096">
        <v>0.3</v>
      </c>
      <c r="N96" s="1096">
        <v>0.2</v>
      </c>
      <c r="O96" s="1096">
        <v>0</v>
      </c>
      <c r="P96" s="1096">
        <v>0</v>
      </c>
      <c r="Q96" s="1096">
        <v>0</v>
      </c>
      <c r="R96" s="1098">
        <v>0.5</v>
      </c>
      <c r="S96" s="1085" t="s">
        <v>1223</v>
      </c>
      <c r="V96" s="1103"/>
    </row>
    <row r="97" spans="11:22" ht="90">
      <c r="K97" s="1102" t="s">
        <v>1234</v>
      </c>
      <c r="L97" s="1100" t="s">
        <v>1218</v>
      </c>
      <c r="M97" s="1096">
        <v>0</v>
      </c>
      <c r="N97" s="1096">
        <v>1</v>
      </c>
      <c r="O97" s="1096">
        <v>0</v>
      </c>
      <c r="P97" s="1096">
        <v>0</v>
      </c>
      <c r="Q97" s="1096">
        <v>0</v>
      </c>
      <c r="R97" s="1098">
        <v>1</v>
      </c>
      <c r="S97" s="1085" t="s">
        <v>744</v>
      </c>
      <c r="V97" s="1103"/>
    </row>
    <row r="98" spans="11:22" ht="75">
      <c r="K98" s="1102" t="s">
        <v>1235</v>
      </c>
      <c r="L98" s="1100" t="s">
        <v>1219</v>
      </c>
      <c r="M98" s="1096">
        <v>0</v>
      </c>
      <c r="N98" s="1096">
        <v>0.6</v>
      </c>
      <c r="O98" s="1096">
        <v>0</v>
      </c>
      <c r="P98" s="1096">
        <v>0</v>
      </c>
      <c r="Q98" s="1096">
        <v>0</v>
      </c>
      <c r="R98" s="1098">
        <v>0.6</v>
      </c>
      <c r="S98" s="1100" t="s">
        <v>709</v>
      </c>
      <c r="V98" s="1103"/>
    </row>
    <row r="99" spans="11:22" ht="45">
      <c r="K99" s="1102" t="s">
        <v>1236</v>
      </c>
      <c r="L99" s="1100" t="s">
        <v>1220</v>
      </c>
      <c r="M99" s="1096">
        <v>1</v>
      </c>
      <c r="N99" s="1096">
        <v>1</v>
      </c>
      <c r="O99" s="1096">
        <v>0</v>
      </c>
      <c r="P99" s="1096">
        <v>0</v>
      </c>
      <c r="Q99" s="1096">
        <v>0</v>
      </c>
      <c r="R99" s="1098">
        <v>2</v>
      </c>
      <c r="S99" s="1100" t="s">
        <v>1224</v>
      </c>
      <c r="V99" s="1103"/>
    </row>
    <row r="100" spans="11:22" ht="49.5">
      <c r="K100" s="1102"/>
      <c r="L100" s="1090" t="s">
        <v>1246</v>
      </c>
      <c r="M100" s="1104">
        <f>SUM(M92:M99)</f>
        <v>7.8079999999999989</v>
      </c>
      <c r="N100" s="1104">
        <f t="shared" ref="N100:R100" si="13">SUM(N92:N99)</f>
        <v>10.200000000000001</v>
      </c>
      <c r="O100" s="1104">
        <f t="shared" si="13"/>
        <v>6.1400000000000006</v>
      </c>
      <c r="P100" s="1104">
        <f t="shared" si="13"/>
        <v>0</v>
      </c>
      <c r="Q100" s="1104">
        <f t="shared" si="13"/>
        <v>0</v>
      </c>
      <c r="R100" s="1104">
        <f t="shared" si="13"/>
        <v>24.148000000000003</v>
      </c>
      <c r="S100" s="1096"/>
      <c r="V100" s="1101"/>
    </row>
    <row r="101" spans="11:22" ht="16.5">
      <c r="K101" s="1090"/>
      <c r="L101" s="1090" t="s">
        <v>1247</v>
      </c>
      <c r="M101" s="1105">
        <f>M67+M68+M69+M70+M90+M100</f>
        <v>214.75799999999998</v>
      </c>
      <c r="N101" s="1105">
        <f t="shared" ref="N101:R101" si="14">N67+N68+N69+N70+N90+N100</f>
        <v>157.63</v>
      </c>
      <c r="O101" s="1105">
        <f t="shared" si="14"/>
        <v>823.18000000000006</v>
      </c>
      <c r="P101" s="1105">
        <f t="shared" si="14"/>
        <v>0</v>
      </c>
      <c r="Q101" s="1105">
        <f t="shared" si="14"/>
        <v>0</v>
      </c>
      <c r="R101" s="1105">
        <f t="shared" si="14"/>
        <v>1195.568</v>
      </c>
      <c r="S101" s="1096"/>
      <c r="V101" s="1088"/>
    </row>
    <row r="102" spans="11:22">
      <c r="K102" s="1088"/>
      <c r="L102" s="1088"/>
      <c r="M102" s="1088"/>
      <c r="N102" s="1088"/>
      <c r="O102" s="1088"/>
      <c r="P102" s="1088"/>
      <c r="Q102" s="1088"/>
      <c r="R102" s="1088"/>
      <c r="S102" s="1088"/>
      <c r="V102" s="1088"/>
    </row>
    <row r="103" spans="11:22">
      <c r="K103" s="1088"/>
      <c r="L103" s="1088"/>
      <c r="M103" s="1088"/>
      <c r="N103" s="1088"/>
      <c r="O103" s="1088"/>
      <c r="P103" s="1088"/>
      <c r="Q103" s="1088"/>
      <c r="R103" s="1106"/>
      <c r="S103" s="1106"/>
      <c r="V103" s="1106"/>
    </row>
    <row r="104" spans="11:22">
      <c r="K104" s="1088"/>
      <c r="L104" s="1088"/>
      <c r="M104" s="1088"/>
      <c r="N104" s="1088"/>
      <c r="O104" s="1088"/>
      <c r="P104" s="1088"/>
      <c r="Q104" s="1088"/>
      <c r="R104" s="1088"/>
      <c r="S104" s="1088"/>
      <c r="V104" s="1088"/>
    </row>
    <row r="105" spans="11:22" ht="16.5">
      <c r="K105" s="1088"/>
      <c r="L105" s="1088"/>
      <c r="M105" s="1091" t="s">
        <v>1016</v>
      </c>
      <c r="N105" s="1091" t="s">
        <v>1017</v>
      </c>
      <c r="O105" s="1091" t="s">
        <v>1018</v>
      </c>
      <c r="P105" s="1091" t="s">
        <v>1019</v>
      </c>
      <c r="Q105" s="1091" t="s">
        <v>1020</v>
      </c>
      <c r="R105" s="1090" t="s">
        <v>458</v>
      </c>
      <c r="S105" s="1088"/>
      <c r="V105" s="1088"/>
    </row>
    <row r="106" spans="11:22" ht="18">
      <c r="K106" s="1107">
        <v>1</v>
      </c>
      <c r="L106" s="1108" t="s">
        <v>505</v>
      </c>
      <c r="M106" s="1096">
        <f>M68+M69</f>
        <v>153.1</v>
      </c>
      <c r="N106" s="1096">
        <f t="shared" ref="N106:Q106" si="15">N68+N69</f>
        <v>101.95</v>
      </c>
      <c r="O106" s="1096">
        <f t="shared" si="15"/>
        <v>84.12</v>
      </c>
      <c r="P106" s="1096">
        <f t="shared" si="15"/>
        <v>0</v>
      </c>
      <c r="Q106" s="1096">
        <f t="shared" si="15"/>
        <v>0</v>
      </c>
      <c r="R106" s="1096">
        <f>SUM(M106:Q106)</f>
        <v>339.17</v>
      </c>
      <c r="S106" s="1088"/>
      <c r="V106" s="1088"/>
    </row>
    <row r="107" spans="11:22" ht="30">
      <c r="K107" s="1107">
        <v>2</v>
      </c>
      <c r="L107" s="1094" t="s">
        <v>515</v>
      </c>
      <c r="M107" s="1098">
        <f>M67+M83+M84+M98</f>
        <v>1.2</v>
      </c>
      <c r="N107" s="1098">
        <f t="shared" ref="N107:Q107" si="16">N67+N83+N84+N98</f>
        <v>1.6</v>
      </c>
      <c r="O107" s="1098">
        <f t="shared" si="16"/>
        <v>645.32000000000005</v>
      </c>
      <c r="P107" s="1098">
        <f t="shared" si="16"/>
        <v>0</v>
      </c>
      <c r="Q107" s="1098">
        <f t="shared" si="16"/>
        <v>0</v>
      </c>
      <c r="R107" s="1096">
        <f t="shared" ref="R107:R127" si="17">SUM(M107:Q107)</f>
        <v>648.12</v>
      </c>
      <c r="S107" s="1088"/>
      <c r="V107" s="1088"/>
    </row>
    <row r="108" spans="11:22" ht="18">
      <c r="K108" s="1107">
        <v>3</v>
      </c>
      <c r="L108" s="1109" t="s">
        <v>524</v>
      </c>
      <c r="M108" s="1096">
        <v>0</v>
      </c>
      <c r="N108" s="1096">
        <v>0</v>
      </c>
      <c r="O108" s="1096">
        <v>0</v>
      </c>
      <c r="P108" s="1096">
        <v>0</v>
      </c>
      <c r="Q108" s="1096">
        <v>0</v>
      </c>
      <c r="R108" s="1096">
        <v>0</v>
      </c>
      <c r="S108" s="1088"/>
      <c r="V108" s="1088"/>
    </row>
    <row r="109" spans="11:22" ht="72">
      <c r="K109" s="1107">
        <v>4</v>
      </c>
      <c r="L109" s="1109" t="s">
        <v>526</v>
      </c>
      <c r="M109" s="1096">
        <v>0</v>
      </c>
      <c r="N109" s="1096">
        <v>0</v>
      </c>
      <c r="O109" s="1096">
        <v>0</v>
      </c>
      <c r="P109" s="1096">
        <v>0</v>
      </c>
      <c r="Q109" s="1096">
        <v>0</v>
      </c>
      <c r="R109" s="1096">
        <v>0</v>
      </c>
      <c r="S109" s="1088"/>
      <c r="V109" s="1088"/>
    </row>
    <row r="110" spans="11:22" ht="90">
      <c r="K110" s="1107">
        <v>5</v>
      </c>
      <c r="L110" s="1109" t="s">
        <v>528</v>
      </c>
      <c r="M110" s="1096">
        <v>0</v>
      </c>
      <c r="N110" s="1096">
        <v>0</v>
      </c>
      <c r="O110" s="1096">
        <v>0</v>
      </c>
      <c r="P110" s="1096">
        <v>0</v>
      </c>
      <c r="Q110" s="1096">
        <v>0</v>
      </c>
      <c r="R110" s="1096">
        <v>0</v>
      </c>
      <c r="S110" s="1088"/>
      <c r="V110" s="1088"/>
    </row>
    <row r="111" spans="11:22" ht="28.5">
      <c r="K111" s="1107">
        <v>6</v>
      </c>
      <c r="L111" s="1085" t="s">
        <v>531</v>
      </c>
      <c r="M111" s="1098">
        <f>M77+M78+M79+M81+M82+M85+M86+M87+M88</f>
        <v>13.760000000000002</v>
      </c>
      <c r="N111" s="1098">
        <f t="shared" ref="N111:Q111" si="18">N77+N78+N79+N81+N82+N85+N86+N87+N88</f>
        <v>12.48</v>
      </c>
      <c r="O111" s="1098">
        <f t="shared" si="18"/>
        <v>3</v>
      </c>
      <c r="P111" s="1098">
        <f t="shared" si="18"/>
        <v>0</v>
      </c>
      <c r="Q111" s="1098">
        <f t="shared" si="18"/>
        <v>0</v>
      </c>
      <c r="R111" s="1096">
        <f t="shared" si="17"/>
        <v>29.240000000000002</v>
      </c>
      <c r="S111" s="1088"/>
      <c r="V111" s="1088"/>
    </row>
    <row r="112" spans="11:22" ht="108">
      <c r="K112" s="1107">
        <v>7</v>
      </c>
      <c r="L112" s="1109" t="s">
        <v>533</v>
      </c>
      <c r="M112" s="1096">
        <v>0</v>
      </c>
      <c r="N112" s="1096">
        <v>0</v>
      </c>
      <c r="O112" s="1096">
        <v>0</v>
      </c>
      <c r="P112" s="1096">
        <v>0</v>
      </c>
      <c r="Q112" s="1096">
        <v>0</v>
      </c>
      <c r="R112" s="1096">
        <v>0</v>
      </c>
      <c r="S112" s="1088"/>
      <c r="V112" s="1088"/>
    </row>
    <row r="113" spans="11:22" ht="36">
      <c r="K113" s="1107">
        <v>8</v>
      </c>
      <c r="L113" s="1109" t="s">
        <v>535</v>
      </c>
      <c r="M113" s="1096">
        <v>0</v>
      </c>
      <c r="N113" s="1096">
        <v>0</v>
      </c>
      <c r="O113" s="1096">
        <v>0</v>
      </c>
      <c r="P113" s="1096">
        <v>0</v>
      </c>
      <c r="Q113" s="1096">
        <v>0</v>
      </c>
      <c r="R113" s="1096">
        <v>0</v>
      </c>
      <c r="S113" s="1088"/>
      <c r="V113" s="1088"/>
    </row>
    <row r="114" spans="11:22" ht="18">
      <c r="K114" s="1107">
        <v>9</v>
      </c>
      <c r="L114" s="1109" t="s">
        <v>537</v>
      </c>
      <c r="M114" s="1096">
        <v>0</v>
      </c>
      <c r="N114" s="1096">
        <v>0</v>
      </c>
      <c r="O114" s="1096">
        <v>0</v>
      </c>
      <c r="P114" s="1096">
        <v>0</v>
      </c>
      <c r="Q114" s="1096">
        <v>0</v>
      </c>
      <c r="R114" s="1096">
        <v>0</v>
      </c>
      <c r="S114" s="1088"/>
      <c r="V114" s="1088"/>
    </row>
    <row r="115" spans="11:22" ht="54">
      <c r="K115" s="1107">
        <v>10</v>
      </c>
      <c r="L115" s="1109" t="s">
        <v>539</v>
      </c>
      <c r="M115" s="1096">
        <v>0</v>
      </c>
      <c r="N115" s="1096">
        <v>0</v>
      </c>
      <c r="O115" s="1096">
        <v>0</v>
      </c>
      <c r="P115" s="1096">
        <v>0</v>
      </c>
      <c r="Q115" s="1096">
        <v>0</v>
      </c>
      <c r="R115" s="1096">
        <v>0</v>
      </c>
      <c r="S115" s="1088"/>
      <c r="V115" s="1088"/>
    </row>
    <row r="116" spans="11:22" ht="54">
      <c r="K116" s="1107">
        <v>11</v>
      </c>
      <c r="L116" s="1109" t="s">
        <v>540</v>
      </c>
      <c r="M116" s="1096">
        <v>0</v>
      </c>
      <c r="N116" s="1096">
        <v>0</v>
      </c>
      <c r="O116" s="1096">
        <v>0</v>
      </c>
      <c r="P116" s="1096">
        <v>0</v>
      </c>
      <c r="Q116" s="1096">
        <v>0</v>
      </c>
      <c r="R116" s="1096">
        <v>0</v>
      </c>
      <c r="S116" s="1088"/>
      <c r="V116" s="1088"/>
    </row>
    <row r="117" spans="11:22" ht="42.75">
      <c r="K117" s="1107">
        <v>12</v>
      </c>
      <c r="L117" s="1085" t="s">
        <v>541</v>
      </c>
      <c r="M117" s="1098">
        <f>M72+M73+M95+M96</f>
        <v>3.4499999999999997</v>
      </c>
      <c r="N117" s="1098">
        <f t="shared" ref="N117:Q117" si="19">N72+N73+N95+N96</f>
        <v>0.60000000000000009</v>
      </c>
      <c r="O117" s="1098">
        <f t="shared" si="19"/>
        <v>0</v>
      </c>
      <c r="P117" s="1098">
        <f t="shared" si="19"/>
        <v>0</v>
      </c>
      <c r="Q117" s="1098">
        <f t="shared" si="19"/>
        <v>0</v>
      </c>
      <c r="R117" s="1096">
        <f t="shared" si="17"/>
        <v>4.05</v>
      </c>
      <c r="S117" s="1088"/>
      <c r="V117" s="1088"/>
    </row>
    <row r="118" spans="11:22" ht="30">
      <c r="K118" s="1107">
        <v>13</v>
      </c>
      <c r="L118" s="1095" t="s">
        <v>542</v>
      </c>
      <c r="M118" s="1096">
        <f>M70</f>
        <v>26.94</v>
      </c>
      <c r="N118" s="1096">
        <f t="shared" ref="N118:Q118" si="20">N70</f>
        <v>24.5</v>
      </c>
      <c r="O118" s="1096">
        <f t="shared" si="20"/>
        <v>79.599999999999994</v>
      </c>
      <c r="P118" s="1096">
        <f>P70</f>
        <v>0</v>
      </c>
      <c r="Q118" s="1096">
        <f t="shared" si="20"/>
        <v>0</v>
      </c>
      <c r="R118" s="1096">
        <f t="shared" si="17"/>
        <v>131.04</v>
      </c>
      <c r="S118" s="1088"/>
      <c r="V118" s="1088"/>
    </row>
    <row r="119" spans="11:22" ht="57">
      <c r="K119" s="1107">
        <v>14</v>
      </c>
      <c r="L119" s="1085" t="s">
        <v>744</v>
      </c>
      <c r="M119" s="1098">
        <f>M74+M76+M92+M93+M94+M97</f>
        <v>6.9079999999999995</v>
      </c>
      <c r="N119" s="1098">
        <f t="shared" ref="N119:Q119" si="21">N74+N76+N92+N93+N94+N97</f>
        <v>9</v>
      </c>
      <c r="O119" s="1098">
        <f t="shared" si="21"/>
        <v>6.1400000000000006</v>
      </c>
      <c r="P119" s="1098">
        <f t="shared" si="21"/>
        <v>0</v>
      </c>
      <c r="Q119" s="1098">
        <f t="shared" si="21"/>
        <v>0</v>
      </c>
      <c r="R119" s="1096">
        <f t="shared" si="17"/>
        <v>22.048000000000002</v>
      </c>
      <c r="S119" s="1088"/>
      <c r="V119" s="1088"/>
    </row>
    <row r="120" spans="11:22" ht="30">
      <c r="K120" s="1107">
        <v>15</v>
      </c>
      <c r="L120" s="1100" t="s">
        <v>543</v>
      </c>
      <c r="M120" s="1098">
        <f>M99+M75</f>
        <v>1.5</v>
      </c>
      <c r="N120" s="1098">
        <f t="shared" ref="N120:Q120" si="22">N99+N75</f>
        <v>1.5</v>
      </c>
      <c r="O120" s="1098">
        <f t="shared" si="22"/>
        <v>0</v>
      </c>
      <c r="P120" s="1098">
        <f t="shared" si="22"/>
        <v>0</v>
      </c>
      <c r="Q120" s="1098">
        <f t="shared" si="22"/>
        <v>0</v>
      </c>
      <c r="R120" s="1096">
        <f t="shared" si="17"/>
        <v>3</v>
      </c>
      <c r="S120" s="1088"/>
      <c r="V120" s="1088"/>
    </row>
    <row r="121" spans="11:22" ht="18">
      <c r="K121" s="1107">
        <v>16</v>
      </c>
      <c r="L121" s="1109" t="s">
        <v>544</v>
      </c>
      <c r="M121" s="1096">
        <v>0</v>
      </c>
      <c r="N121" s="1096">
        <v>0</v>
      </c>
      <c r="O121" s="1096">
        <v>0</v>
      </c>
      <c r="P121" s="1096">
        <v>0</v>
      </c>
      <c r="Q121" s="1096">
        <v>0</v>
      </c>
      <c r="R121" s="1096">
        <v>0</v>
      </c>
      <c r="S121" s="1088"/>
      <c r="V121" s="1088"/>
    </row>
    <row r="122" spans="11:22" ht="72">
      <c r="K122" s="1107">
        <v>17</v>
      </c>
      <c r="L122" s="1109" t="s">
        <v>545</v>
      </c>
      <c r="M122" s="1096">
        <v>0</v>
      </c>
      <c r="N122" s="1096">
        <v>0</v>
      </c>
      <c r="O122" s="1096">
        <v>0</v>
      </c>
      <c r="P122" s="1096">
        <v>0</v>
      </c>
      <c r="Q122" s="1096">
        <v>0</v>
      </c>
      <c r="R122" s="1096">
        <v>0</v>
      </c>
      <c r="S122" s="1088"/>
      <c r="V122" s="1088"/>
    </row>
    <row r="123" spans="11:22" ht="90">
      <c r="K123" s="1107">
        <v>18</v>
      </c>
      <c r="L123" s="1109" t="s">
        <v>546</v>
      </c>
      <c r="M123" s="1096">
        <v>0</v>
      </c>
      <c r="N123" s="1096">
        <v>0</v>
      </c>
      <c r="O123" s="1096">
        <v>0</v>
      </c>
      <c r="P123" s="1096">
        <v>0</v>
      </c>
      <c r="Q123" s="1096">
        <v>0</v>
      </c>
      <c r="R123" s="1096">
        <v>0</v>
      </c>
      <c r="S123" s="1088"/>
      <c r="V123" s="1088"/>
    </row>
    <row r="124" spans="11:22" ht="36">
      <c r="K124" s="1107">
        <v>19</v>
      </c>
      <c r="L124" s="1109" t="s">
        <v>547</v>
      </c>
      <c r="M124" s="1096">
        <v>0</v>
      </c>
      <c r="N124" s="1096">
        <v>0</v>
      </c>
      <c r="O124" s="1096">
        <v>0</v>
      </c>
      <c r="P124" s="1096">
        <v>0</v>
      </c>
      <c r="Q124" s="1096">
        <v>0</v>
      </c>
      <c r="R124" s="1096">
        <v>0</v>
      </c>
      <c r="S124" s="1088"/>
      <c r="V124" s="1088"/>
    </row>
    <row r="125" spans="11:22" ht="42.75">
      <c r="K125" s="1107">
        <v>20</v>
      </c>
      <c r="L125" s="1085" t="s">
        <v>548</v>
      </c>
      <c r="M125" s="1098">
        <f>M89</f>
        <v>2.9</v>
      </c>
      <c r="N125" s="1098">
        <f t="shared" ref="N125:Q125" si="23">N89</f>
        <v>1</v>
      </c>
      <c r="O125" s="1098">
        <f t="shared" si="23"/>
        <v>0</v>
      </c>
      <c r="P125" s="1098">
        <f t="shared" si="23"/>
        <v>0</v>
      </c>
      <c r="Q125" s="1098">
        <f t="shared" si="23"/>
        <v>0</v>
      </c>
      <c r="R125" s="1096">
        <f t="shared" si="17"/>
        <v>3.9</v>
      </c>
      <c r="S125" s="1088"/>
      <c r="V125" s="1088"/>
    </row>
    <row r="126" spans="11:22" ht="28.5">
      <c r="K126" s="1107">
        <v>21</v>
      </c>
      <c r="L126" s="1085" t="s">
        <v>549</v>
      </c>
      <c r="M126" s="1098">
        <f>M80</f>
        <v>5</v>
      </c>
      <c r="N126" s="1098">
        <f t="shared" ref="N126:Q126" si="24">N80</f>
        <v>5</v>
      </c>
      <c r="O126" s="1098">
        <f t="shared" si="24"/>
        <v>5</v>
      </c>
      <c r="P126" s="1098">
        <f t="shared" si="24"/>
        <v>0</v>
      </c>
      <c r="Q126" s="1098">
        <f t="shared" si="24"/>
        <v>0</v>
      </c>
      <c r="R126" s="1096">
        <f t="shared" si="17"/>
        <v>15</v>
      </c>
      <c r="S126" s="1088"/>
      <c r="V126" s="1088"/>
    </row>
    <row r="127" spans="11:22" ht="37.5">
      <c r="K127" s="1107">
        <v>22</v>
      </c>
      <c r="L127" s="1110" t="s">
        <v>745</v>
      </c>
      <c r="M127" s="1096"/>
      <c r="N127" s="1096"/>
      <c r="O127" s="1096"/>
      <c r="P127" s="1096"/>
      <c r="Q127" s="1096"/>
      <c r="R127" s="1096">
        <f t="shared" si="17"/>
        <v>0</v>
      </c>
      <c r="S127" s="1088"/>
      <c r="V127" s="1088"/>
    </row>
    <row r="128" spans="11:22">
      <c r="K128" s="1088"/>
      <c r="L128" s="1088"/>
      <c r="M128" s="1106">
        <f>SUM(M106:M127)</f>
        <v>214.75799999999995</v>
      </c>
      <c r="N128" s="1106">
        <f t="shared" ref="N128:R128" si="25">SUM(N106:N127)</f>
        <v>157.63</v>
      </c>
      <c r="O128" s="1106">
        <f t="shared" si="25"/>
        <v>823.18000000000006</v>
      </c>
      <c r="P128" s="1106">
        <f t="shared" si="25"/>
        <v>0</v>
      </c>
      <c r="Q128" s="1106">
        <f t="shared" si="25"/>
        <v>0</v>
      </c>
      <c r="R128" s="1106">
        <f t="shared" si="25"/>
        <v>1195.568</v>
      </c>
      <c r="S128" s="1088"/>
      <c r="V128" s="1088"/>
    </row>
  </sheetData>
  <mergeCells count="32">
    <mergeCell ref="P10:P11"/>
    <mergeCell ref="Q10:Q11"/>
    <mergeCell ref="R10:R11"/>
    <mergeCell ref="S10:S11"/>
    <mergeCell ref="T10:T11"/>
    <mergeCell ref="E10:E11"/>
    <mergeCell ref="O10:O11"/>
    <mergeCell ref="I10:I11"/>
    <mergeCell ref="F10:F11"/>
    <mergeCell ref="H10:H11"/>
    <mergeCell ref="J10:J11"/>
    <mergeCell ref="G10:G11"/>
    <mergeCell ref="K10:K11"/>
    <mergeCell ref="L10:L11"/>
    <mergeCell ref="M10:M11"/>
    <mergeCell ref="N10:N11"/>
    <mergeCell ref="E40:J40"/>
    <mergeCell ref="D38:E38"/>
    <mergeCell ref="S9:T9"/>
    <mergeCell ref="A5:T5"/>
    <mergeCell ref="R44:S44"/>
    <mergeCell ref="C7:J7"/>
    <mergeCell ref="C8:J8"/>
    <mergeCell ref="A7:B7"/>
    <mergeCell ref="A8:B8"/>
    <mergeCell ref="A41:A42"/>
    <mergeCell ref="B42:J42"/>
    <mergeCell ref="C10:C11"/>
    <mergeCell ref="A10:A11"/>
    <mergeCell ref="B10:B11"/>
    <mergeCell ref="E39:J39"/>
    <mergeCell ref="D10:D11"/>
  </mergeCells>
  <pageMargins left="0.7" right="0.7" top="0.75" bottom="0.75" header="0.3" footer="0.3"/>
  <pageSetup paperSize="9" scale="60" fitToHeight="2" orientation="portrait" horizontalDpi="4294967293" r:id="rId1"/>
</worksheet>
</file>

<file path=xl/worksheets/sheet22.xml><?xml version="1.0" encoding="utf-8"?>
<worksheet xmlns="http://schemas.openxmlformats.org/spreadsheetml/2006/main" xmlns:r="http://schemas.openxmlformats.org/officeDocument/2006/relationships">
  <sheetPr>
    <tabColor rgb="FF00B050"/>
    <pageSetUpPr fitToPage="1"/>
  </sheetPr>
  <dimension ref="A1:Q123"/>
  <sheetViews>
    <sheetView workbookViewId="0">
      <selection activeCell="H46" sqref="H46"/>
    </sheetView>
  </sheetViews>
  <sheetFormatPr defaultRowHeight="12.75"/>
  <cols>
    <col min="1" max="1" width="7.5" style="285" customWidth="1"/>
    <col min="2" max="2" width="25.33203125" customWidth="1"/>
    <col min="3" max="4" width="13.6640625" hidden="1" customWidth="1"/>
    <col min="5" max="6" width="14.33203125" customWidth="1"/>
    <col min="7" max="7" width="15" customWidth="1"/>
    <col min="8" max="8" width="15.83203125" customWidth="1"/>
    <col min="9" max="9" width="13.33203125" customWidth="1"/>
    <col min="10" max="10" width="12.83203125" customWidth="1"/>
    <col min="11" max="11" width="15.33203125" customWidth="1"/>
  </cols>
  <sheetData>
    <row r="1" spans="1:13">
      <c r="A1" s="887"/>
      <c r="B1" s="170"/>
      <c r="C1" s="170"/>
      <c r="D1" s="170"/>
      <c r="E1" s="170"/>
      <c r="F1" s="170"/>
      <c r="G1" s="170"/>
      <c r="H1" s="1311" t="s">
        <v>869</v>
      </c>
    </row>
    <row r="2" spans="1:13">
      <c r="A2" s="888"/>
      <c r="H2" s="1327" t="s">
        <v>912</v>
      </c>
    </row>
    <row r="3" spans="1:13">
      <c r="A3" s="888"/>
      <c r="H3" s="449"/>
    </row>
    <row r="4" spans="1:13" ht="12.75" customHeight="1">
      <c r="A4" s="1715" t="s">
        <v>913</v>
      </c>
      <c r="B4" s="1716"/>
      <c r="C4" s="1716"/>
      <c r="D4" s="1716"/>
      <c r="E4" s="1716"/>
      <c r="F4" s="1716"/>
      <c r="G4" s="1716"/>
      <c r="H4" s="1717"/>
    </row>
    <row r="5" spans="1:13">
      <c r="A5" s="1283"/>
      <c r="B5" s="1284"/>
      <c r="C5" s="1284"/>
      <c r="D5" s="1284"/>
      <c r="E5" s="1284"/>
      <c r="F5" s="1284"/>
      <c r="G5" s="1284"/>
      <c r="H5" s="1285"/>
    </row>
    <row r="6" spans="1:13">
      <c r="A6" s="1718" t="s">
        <v>1099</v>
      </c>
      <c r="B6" s="1719"/>
      <c r="C6" s="1719"/>
      <c r="D6" s="1719"/>
      <c r="E6" s="1719"/>
      <c r="F6" s="1719"/>
      <c r="G6" s="1719"/>
      <c r="H6" s="1720"/>
    </row>
    <row r="7" spans="1:13">
      <c r="A7" s="1718" t="s">
        <v>1100</v>
      </c>
      <c r="B7" s="1719"/>
      <c r="C7" s="1719"/>
      <c r="D7" s="1719"/>
      <c r="E7" s="1719"/>
      <c r="F7" s="1719"/>
      <c r="G7" s="1719"/>
      <c r="H7" s="1720"/>
    </row>
    <row r="8" spans="1:13">
      <c r="A8" s="880"/>
      <c r="B8" s="551"/>
      <c r="C8" s="551"/>
      <c r="D8" s="551"/>
      <c r="E8" s="551"/>
      <c r="F8" s="551"/>
      <c r="G8" s="551"/>
      <c r="H8" s="1312"/>
    </row>
    <row r="9" spans="1:13" ht="12.75" customHeight="1">
      <c r="A9" s="888"/>
      <c r="B9" s="733"/>
      <c r="C9" s="733"/>
      <c r="D9" s="733"/>
      <c r="E9" s="733"/>
      <c r="G9" s="1713" t="s">
        <v>1034</v>
      </c>
      <c r="H9" s="1714"/>
    </row>
    <row r="10" spans="1:13" ht="24">
      <c r="A10" s="1722" t="s">
        <v>914</v>
      </c>
      <c r="B10" s="1721" t="s">
        <v>418</v>
      </c>
      <c r="C10" s="526" t="s">
        <v>633</v>
      </c>
      <c r="D10" s="526" t="s">
        <v>658</v>
      </c>
      <c r="E10" s="619" t="s">
        <v>659</v>
      </c>
      <c r="F10" s="619" t="s">
        <v>655</v>
      </c>
      <c r="G10" s="619" t="s">
        <v>633</v>
      </c>
      <c r="H10" s="620" t="s">
        <v>633</v>
      </c>
    </row>
    <row r="11" spans="1:13">
      <c r="A11" s="1723"/>
      <c r="B11" s="1721"/>
      <c r="C11" s="526" t="s">
        <v>635</v>
      </c>
      <c r="D11" s="526"/>
      <c r="E11" s="1721" t="s">
        <v>809</v>
      </c>
      <c r="F11" s="1721"/>
      <c r="G11" s="526" t="s">
        <v>637</v>
      </c>
      <c r="H11" s="553" t="s">
        <v>638</v>
      </c>
    </row>
    <row r="12" spans="1:13">
      <c r="A12" s="554">
        <v>1</v>
      </c>
      <c r="B12" s="526">
        <v>2</v>
      </c>
      <c r="C12" s="526">
        <v>5</v>
      </c>
      <c r="D12" s="526"/>
      <c r="E12" s="526">
        <v>3</v>
      </c>
      <c r="F12" s="526">
        <v>4</v>
      </c>
      <c r="G12" s="526">
        <v>5</v>
      </c>
      <c r="H12" s="553">
        <v>6</v>
      </c>
    </row>
    <row r="13" spans="1:13">
      <c r="A13" s="555"/>
      <c r="B13" s="552"/>
      <c r="C13" s="552" t="s">
        <v>656</v>
      </c>
      <c r="D13" s="552" t="s">
        <v>656</v>
      </c>
      <c r="E13" s="552" t="s">
        <v>656</v>
      </c>
      <c r="F13" s="552" t="s">
        <v>656</v>
      </c>
      <c r="G13" s="552" t="s">
        <v>656</v>
      </c>
      <c r="H13" s="1313" t="s">
        <v>657</v>
      </c>
    </row>
    <row r="14" spans="1:13">
      <c r="A14" s="554"/>
      <c r="B14" s="526" t="s">
        <v>795</v>
      </c>
      <c r="C14" s="526"/>
      <c r="D14" s="526"/>
      <c r="E14" s="526">
        <v>68</v>
      </c>
      <c r="F14" s="526">
        <v>120</v>
      </c>
      <c r="G14" s="526">
        <v>365</v>
      </c>
      <c r="H14" s="553">
        <v>365</v>
      </c>
    </row>
    <row r="15" spans="1:13">
      <c r="A15" s="554">
        <v>1</v>
      </c>
      <c r="B15" s="423" t="s">
        <v>788</v>
      </c>
      <c r="C15" s="526"/>
      <c r="D15" s="526"/>
      <c r="E15" s="526"/>
      <c r="F15" s="526"/>
      <c r="G15" s="526"/>
      <c r="H15" s="553"/>
      <c r="K15" s="415">
        <v>42750</v>
      </c>
      <c r="L15" s="415">
        <v>42706</v>
      </c>
      <c r="M15" s="416">
        <f>K15-L15+1</f>
        <v>45</v>
      </c>
    </row>
    <row r="16" spans="1:13">
      <c r="A16" s="554"/>
      <c r="B16" s="423" t="s">
        <v>640</v>
      </c>
      <c r="C16" s="422">
        <v>3478.66</v>
      </c>
      <c r="D16" s="422"/>
      <c r="E16" s="438">
        <v>3980</v>
      </c>
      <c r="F16" s="438">
        <f>E16</f>
        <v>3980</v>
      </c>
      <c r="G16" s="438">
        <v>3980</v>
      </c>
      <c r="H16" s="1314">
        <f>G16+G19</f>
        <v>3980</v>
      </c>
    </row>
    <row r="17" spans="1:17" ht="36">
      <c r="A17" s="554"/>
      <c r="B17" s="525" t="s">
        <v>641</v>
      </c>
      <c r="C17" s="424" t="s">
        <v>529</v>
      </c>
      <c r="D17" s="424"/>
      <c r="E17" s="526">
        <v>0</v>
      </c>
      <c r="F17" s="526">
        <v>0</v>
      </c>
      <c r="G17" s="526">
        <f>F17+F20</f>
        <v>82.917000000000002</v>
      </c>
      <c r="H17" s="1315">
        <f>G17+G20</f>
        <v>414.58366666666666</v>
      </c>
      <c r="N17" s="168" t="s">
        <v>791</v>
      </c>
      <c r="O17" t="s">
        <v>792</v>
      </c>
      <c r="P17" t="s">
        <v>793</v>
      </c>
      <c r="Q17" t="s">
        <v>794</v>
      </c>
    </row>
    <row r="18" spans="1:17">
      <c r="A18" s="554"/>
      <c r="B18" s="525" t="s">
        <v>643</v>
      </c>
      <c r="C18" s="422">
        <v>3478.66</v>
      </c>
      <c r="D18" s="422"/>
      <c r="E18" s="438">
        <f>E16-E17</f>
        <v>3980</v>
      </c>
      <c r="F18" s="438">
        <f>F16-F17</f>
        <v>3980</v>
      </c>
      <c r="G18" s="438">
        <f>G16-G17</f>
        <v>3897.0830000000001</v>
      </c>
      <c r="H18" s="1314">
        <f>H16-H17</f>
        <v>3565.4163333333336</v>
      </c>
      <c r="K18" s="405">
        <v>42644</v>
      </c>
      <c r="L18" s="405">
        <v>42735</v>
      </c>
      <c r="M18">
        <f>L18-K18+1</f>
        <v>92</v>
      </c>
      <c r="N18" s="406">
        <f>579623022+618648190</f>
        <v>1198271212</v>
      </c>
      <c r="O18">
        <f>55435164+59130838</f>
        <v>114566002</v>
      </c>
      <c r="P18">
        <f>17179330+18247420</f>
        <v>35426750</v>
      </c>
      <c r="Q18">
        <f>SUM(N18:P18)</f>
        <v>1348263964</v>
      </c>
    </row>
    <row r="19" spans="1:17" ht="24">
      <c r="A19" s="554"/>
      <c r="B19" s="525" t="s">
        <v>644</v>
      </c>
      <c r="C19" s="424">
        <v>501.34</v>
      </c>
      <c r="D19" s="424"/>
      <c r="E19" s="526">
        <v>0</v>
      </c>
      <c r="F19" s="526">
        <v>0</v>
      </c>
      <c r="G19" s="526">
        <v>0</v>
      </c>
      <c r="H19" s="553">
        <v>0</v>
      </c>
      <c r="K19" s="405">
        <f>L18+1</f>
        <v>42736</v>
      </c>
      <c r="L19" s="405">
        <v>42825</v>
      </c>
      <c r="M19">
        <f>L19-K19+1</f>
        <v>90</v>
      </c>
      <c r="N19" s="406">
        <v>903166958</v>
      </c>
      <c r="O19">
        <v>122197078</v>
      </c>
      <c r="P19">
        <v>40613300</v>
      </c>
      <c r="Q19">
        <f>SUM(N19:P19)</f>
        <v>1065977336</v>
      </c>
    </row>
    <row r="20" spans="1:17" ht="24">
      <c r="A20" s="554"/>
      <c r="B20" s="525" t="s">
        <v>645</v>
      </c>
      <c r="C20" s="424">
        <v>0</v>
      </c>
      <c r="D20" s="424"/>
      <c r="E20" s="526">
        <v>0</v>
      </c>
      <c r="F20" s="526">
        <v>82.917000000000002</v>
      </c>
      <c r="G20" s="259">
        <f>G16/12</f>
        <v>331.66666666666669</v>
      </c>
      <c r="H20" s="1315">
        <f>G20</f>
        <v>331.66666666666669</v>
      </c>
    </row>
    <row r="21" spans="1:17">
      <c r="A21" s="554"/>
      <c r="B21" s="525" t="s">
        <v>646</v>
      </c>
      <c r="C21" s="422">
        <f>C18+C19-C20</f>
        <v>3980</v>
      </c>
      <c r="D21" s="422"/>
      <c r="E21" s="438">
        <f>E18+E19-E20</f>
        <v>3980</v>
      </c>
      <c r="F21" s="438">
        <f>F18+F19-F20</f>
        <v>3897.0830000000001</v>
      </c>
      <c r="G21" s="438">
        <f>G18+G19-G20</f>
        <v>3565.4163333333336</v>
      </c>
      <c r="H21" s="1314">
        <f>H18+H19-H20</f>
        <v>3233.7496666666671</v>
      </c>
    </row>
    <row r="22" spans="1:17">
      <c r="A22" s="554"/>
      <c r="B22" s="525" t="s">
        <v>647</v>
      </c>
      <c r="C22" s="422">
        <f>AVERAGE(C18,C21)</f>
        <v>3729.33</v>
      </c>
      <c r="D22" s="422"/>
      <c r="E22" s="438">
        <f>AVERAGE(E18,E21)</f>
        <v>3980</v>
      </c>
      <c r="F22" s="438">
        <f>(F18*45+F21*75)/120</f>
        <v>3928.1768750000001</v>
      </c>
      <c r="G22" s="438">
        <f>AVERAGE(G18,G21)</f>
        <v>3731.2496666666666</v>
      </c>
      <c r="H22" s="1314">
        <f>AVERAGE(H18,H21)</f>
        <v>3399.5830000000005</v>
      </c>
      <c r="L22">
        <f>L19-K18+1</f>
        <v>182</v>
      </c>
    </row>
    <row r="23" spans="1:17">
      <c r="A23" s="554"/>
      <c r="B23" s="423" t="s">
        <v>648</v>
      </c>
      <c r="C23" s="426">
        <v>0.114</v>
      </c>
      <c r="D23" s="426"/>
      <c r="E23" s="590">
        <f>E24*365/(E22*$E$14)</f>
        <v>0.1194503768844221</v>
      </c>
      <c r="F23" s="590">
        <f>F24*365/(F22*$F$14)</f>
        <v>0.1001892894652306</v>
      </c>
      <c r="G23" s="590">
        <f>G24/G22</f>
        <v>9.3601348395430342E-2</v>
      </c>
      <c r="H23" s="1316">
        <f>G23</f>
        <v>9.3601348395430342E-2</v>
      </c>
    </row>
    <row r="24" spans="1:17">
      <c r="A24" s="554"/>
      <c r="B24" s="525" t="s">
        <v>426</v>
      </c>
      <c r="C24" s="425">
        <f>C22*C23</f>
        <v>425.14362</v>
      </c>
      <c r="D24" s="425"/>
      <c r="E24" s="259">
        <v>88.57</v>
      </c>
      <c r="F24" s="259">
        <v>129.38999999999999</v>
      </c>
      <c r="G24" s="259">
        <f>90.34+90.32+84.14+84.45</f>
        <v>349.25</v>
      </c>
      <c r="H24" s="1315">
        <f>H22*H23</f>
        <v>318.20555278218234</v>
      </c>
      <c r="K24" s="405">
        <v>42638</v>
      </c>
      <c r="L24" s="405">
        <v>42705</v>
      </c>
      <c r="M24">
        <f>L24-K24+1</f>
        <v>68</v>
      </c>
      <c r="N24" s="408">
        <f>N18/$M$18*$M$24</f>
        <v>885678721.9130435</v>
      </c>
      <c r="O24" s="408">
        <f>O18/$M$18*$M$24</f>
        <v>84679218.869565219</v>
      </c>
      <c r="P24" s="408">
        <f>P18/$M$18*$M$24</f>
        <v>26184989.130434785</v>
      </c>
      <c r="Q24" s="408">
        <f>SUM(N24:P24)</f>
        <v>996542929.9130435</v>
      </c>
    </row>
    <row r="25" spans="1:17">
      <c r="A25" s="554"/>
      <c r="B25" s="525"/>
      <c r="C25" s="424"/>
      <c r="D25" s="424"/>
      <c r="E25" s="526"/>
      <c r="F25" s="526"/>
      <c r="G25" s="526"/>
      <c r="H25" s="553"/>
      <c r="K25" s="405">
        <f>L24+1</f>
        <v>42706</v>
      </c>
      <c r="L25" s="405">
        <v>42825</v>
      </c>
      <c r="M25">
        <f>L25-K25+1</f>
        <v>120</v>
      </c>
      <c r="N25" s="407">
        <f>N19+N18/92*30</f>
        <v>1293907570.6086955</v>
      </c>
      <c r="O25" s="407">
        <f>O19+O18/92*30</f>
        <v>159555556.9130435</v>
      </c>
      <c r="P25" s="407">
        <f>P19+P18/92*30</f>
        <v>52165501.086956523</v>
      </c>
      <c r="Q25" s="408">
        <f>SUM(N25:P25)</f>
        <v>1505628628.6086955</v>
      </c>
    </row>
    <row r="26" spans="1:17">
      <c r="A26" s="554">
        <v>2</v>
      </c>
      <c r="B26" s="423" t="s">
        <v>789</v>
      </c>
      <c r="C26" s="424"/>
      <c r="D26" s="424"/>
      <c r="E26" s="526"/>
      <c r="F26" s="526"/>
      <c r="G26" s="526"/>
      <c r="H26" s="553"/>
    </row>
    <row r="27" spans="1:17">
      <c r="A27" s="554"/>
      <c r="B27" s="423" t="s">
        <v>640</v>
      </c>
      <c r="C27" s="424"/>
      <c r="D27" s="424"/>
      <c r="E27" s="526">
        <v>367.13</v>
      </c>
      <c r="F27" s="438">
        <f>E27+E30</f>
        <v>491</v>
      </c>
      <c r="G27" s="438">
        <f>F27+F30</f>
        <v>581.08000000000004</v>
      </c>
      <c r="H27" s="1317">
        <f>G27+G30</f>
        <v>581.08000000000004</v>
      </c>
      <c r="K27" s="405">
        <v>42638</v>
      </c>
      <c r="L27" s="405">
        <v>42705</v>
      </c>
      <c r="N27" s="407">
        <f>N24/10^7</f>
        <v>88.567872191304346</v>
      </c>
      <c r="O27" s="407">
        <f t="shared" ref="O27:Q28" si="0">O24/10^7</f>
        <v>8.4679218869565211</v>
      </c>
      <c r="P27" s="407">
        <f t="shared" si="0"/>
        <v>2.6184989130434784</v>
      </c>
      <c r="Q27" s="407">
        <f t="shared" si="0"/>
        <v>99.654292991304345</v>
      </c>
    </row>
    <row r="28" spans="1:17" ht="36">
      <c r="A28" s="554"/>
      <c r="B28" s="525" t="s">
        <v>641</v>
      </c>
      <c r="C28" s="424"/>
      <c r="D28" s="424"/>
      <c r="E28" s="526">
        <v>0</v>
      </c>
      <c r="F28" s="591">
        <v>0</v>
      </c>
      <c r="G28" s="526">
        <f>F28+F31</f>
        <v>10.23</v>
      </c>
      <c r="H28" s="1314">
        <f>G28+G31</f>
        <v>58.814000000000007</v>
      </c>
      <c r="K28" s="405">
        <f>L27+1</f>
        <v>42706</v>
      </c>
      <c r="L28" s="405">
        <v>42825</v>
      </c>
      <c r="N28" s="407">
        <f>N25/10^7</f>
        <v>129.39075706086956</v>
      </c>
      <c r="O28" s="407">
        <f t="shared" si="0"/>
        <v>15.955555691304349</v>
      </c>
      <c r="P28" s="407">
        <f t="shared" si="0"/>
        <v>5.2165501086956523</v>
      </c>
      <c r="Q28" s="407">
        <f t="shared" si="0"/>
        <v>150.56286286086956</v>
      </c>
    </row>
    <row r="29" spans="1:17">
      <c r="A29" s="554"/>
      <c r="B29" s="525" t="s">
        <v>643</v>
      </c>
      <c r="C29" s="424">
        <v>0</v>
      </c>
      <c r="D29" s="424"/>
      <c r="E29" s="526">
        <f>E27-E28</f>
        <v>367.13</v>
      </c>
      <c r="F29" s="526">
        <f>F27-F28</f>
        <v>491</v>
      </c>
      <c r="G29" s="438">
        <f>G27-G28</f>
        <v>570.85</v>
      </c>
      <c r="H29" s="1314">
        <f>H27-H28</f>
        <v>522.26600000000008</v>
      </c>
    </row>
    <row r="30" spans="1:17" ht="24">
      <c r="A30" s="554"/>
      <c r="B30" s="525" t="s">
        <v>644</v>
      </c>
      <c r="C30" s="427">
        <v>700</v>
      </c>
      <c r="D30" s="427"/>
      <c r="E30" s="592">
        <v>123.87</v>
      </c>
      <c r="F30" s="592">
        <v>90.08</v>
      </c>
      <c r="G30" s="526">
        <v>0</v>
      </c>
      <c r="H30" s="1314">
        <v>28.24</v>
      </c>
    </row>
    <row r="31" spans="1:17" ht="24">
      <c r="A31" s="554"/>
      <c r="B31" s="525" t="s">
        <v>645</v>
      </c>
      <c r="C31" s="424">
        <v>0</v>
      </c>
      <c r="D31" s="424"/>
      <c r="E31" s="591">
        <v>0</v>
      </c>
      <c r="F31" s="591">
        <v>10.23</v>
      </c>
      <c r="G31" s="591">
        <f>12.146*4</f>
        <v>48.584000000000003</v>
      </c>
      <c r="H31" s="1314">
        <v>48.89</v>
      </c>
    </row>
    <row r="32" spans="1:17">
      <c r="A32" s="554"/>
      <c r="B32" s="525" t="s">
        <v>646</v>
      </c>
      <c r="C32" s="422">
        <f>C29+C30-C31</f>
        <v>700</v>
      </c>
      <c r="D32" s="422"/>
      <c r="E32" s="593">
        <f>E29+E30-E31</f>
        <v>491</v>
      </c>
      <c r="F32" s="593">
        <f>F29+F30-F31</f>
        <v>570.85</v>
      </c>
      <c r="G32" s="593">
        <f>G29+G30-G31</f>
        <v>522.26600000000008</v>
      </c>
      <c r="H32" s="1318">
        <f>H29+H30-H31</f>
        <v>501.6160000000001</v>
      </c>
      <c r="J32" s="421">
        <f>H27+H30</f>
        <v>609.32000000000005</v>
      </c>
    </row>
    <row r="33" spans="1:12">
      <c r="A33" s="554"/>
      <c r="B33" s="525" t="s">
        <v>647</v>
      </c>
      <c r="C33" s="422">
        <f>AVERAGE(C29,C32)</f>
        <v>350</v>
      </c>
      <c r="D33" s="422"/>
      <c r="E33" s="593">
        <f>E72</f>
        <v>452.74602941176471</v>
      </c>
      <c r="F33" s="593">
        <f>E90</f>
        <v>527.97825</v>
      </c>
      <c r="G33" s="593">
        <f>AVERAGE(G29,G32)</f>
        <v>546.55799999999999</v>
      </c>
      <c r="H33" s="1318">
        <f>AVERAGE(H29,H32)</f>
        <v>511.94100000000009</v>
      </c>
    </row>
    <row r="34" spans="1:12">
      <c r="A34" s="554"/>
      <c r="B34" s="423" t="s">
        <v>648</v>
      </c>
      <c r="C34" s="426">
        <v>9.2899999999999996E-2</v>
      </c>
      <c r="D34" s="426"/>
      <c r="E34" s="594">
        <f>E35*365/(E33*$E$14)</f>
        <v>0.1004182646224526</v>
      </c>
      <c r="F34" s="594">
        <f>F35*365/(F33*$F$14)</f>
        <v>9.194507538899567E-2</v>
      </c>
      <c r="G34" s="594">
        <f>G35/G33</f>
        <v>8.9395818924981427E-2</v>
      </c>
      <c r="H34" s="1316">
        <f>H35/H33</f>
        <v>8.7119414151240068E-2</v>
      </c>
      <c r="L34">
        <f>376/7585</f>
        <v>4.9571522742254452E-2</v>
      </c>
    </row>
    <row r="35" spans="1:12">
      <c r="A35" s="554"/>
      <c r="B35" s="525" t="s">
        <v>426</v>
      </c>
      <c r="C35" s="428">
        <f>C33*C34</f>
        <v>32.515000000000001</v>
      </c>
      <c r="D35" s="428"/>
      <c r="E35" s="595">
        <v>8.4700000000000006</v>
      </c>
      <c r="F35" s="595">
        <v>15.96</v>
      </c>
      <c r="G35" s="596">
        <f>12.59+12.56+12+11.71</f>
        <v>48.86</v>
      </c>
      <c r="H35" s="1319">
        <v>44.6</v>
      </c>
    </row>
    <row r="36" spans="1:12">
      <c r="A36" s="554"/>
      <c r="B36" s="525"/>
      <c r="C36" s="428"/>
      <c r="D36" s="428"/>
      <c r="E36" s="596"/>
      <c r="F36" s="596"/>
      <c r="G36" s="596"/>
      <c r="H36" s="1319"/>
    </row>
    <row r="37" spans="1:12">
      <c r="A37" s="554">
        <v>3</v>
      </c>
      <c r="B37" s="423" t="s">
        <v>790</v>
      </c>
      <c r="C37" s="428"/>
      <c r="D37" s="428"/>
      <c r="E37" s="596"/>
      <c r="F37" s="596"/>
      <c r="G37" s="596"/>
      <c r="H37" s="1319"/>
    </row>
    <row r="38" spans="1:12">
      <c r="A38" s="554"/>
      <c r="B38" s="525" t="s">
        <v>640</v>
      </c>
      <c r="C38" s="428"/>
      <c r="D38" s="428"/>
      <c r="E38" s="595">
        <v>110.52</v>
      </c>
      <c r="F38" s="596">
        <f>E38+E41</f>
        <v>153.11000000000001</v>
      </c>
      <c r="G38" s="596">
        <f>F38+F41</f>
        <v>206.04000000000002</v>
      </c>
      <c r="H38" s="1320">
        <f>G38+G41</f>
        <v>442.89000000000004</v>
      </c>
    </row>
    <row r="39" spans="1:12" ht="36">
      <c r="A39" s="554"/>
      <c r="B39" s="525" t="s">
        <v>641</v>
      </c>
      <c r="C39" s="428"/>
      <c r="D39" s="428"/>
      <c r="E39" s="595">
        <v>0</v>
      </c>
      <c r="F39" s="596">
        <v>0</v>
      </c>
      <c r="G39" s="596">
        <f>F39+F42</f>
        <v>3.12</v>
      </c>
      <c r="H39" s="1319">
        <f>G39+G42</f>
        <v>22.584999999999997</v>
      </c>
    </row>
    <row r="40" spans="1:12">
      <c r="A40" s="554"/>
      <c r="B40" s="525" t="s">
        <v>643</v>
      </c>
      <c r="C40" s="428">
        <v>0</v>
      </c>
      <c r="D40" s="428"/>
      <c r="E40" s="595">
        <f>E38-E39</f>
        <v>110.52</v>
      </c>
      <c r="F40" s="596">
        <f>F38-F39</f>
        <v>153.11000000000001</v>
      </c>
      <c r="G40" s="596">
        <f>G38-G39</f>
        <v>202.92000000000002</v>
      </c>
      <c r="H40" s="1321">
        <f>H38-H39</f>
        <v>420.30500000000006</v>
      </c>
    </row>
    <row r="41" spans="1:12" ht="24">
      <c r="A41" s="554"/>
      <c r="B41" s="525" t="s">
        <v>644</v>
      </c>
      <c r="C41" s="428">
        <v>700</v>
      </c>
      <c r="D41" s="428"/>
      <c r="E41" s="595">
        <v>42.59</v>
      </c>
      <c r="F41" s="595">
        <v>52.93</v>
      </c>
      <c r="G41" s="596">
        <f>30.66+44.67+161.52</f>
        <v>236.85000000000002</v>
      </c>
      <c r="H41" s="1319">
        <v>166.4</v>
      </c>
    </row>
    <row r="42" spans="1:12" ht="24">
      <c r="A42" s="554"/>
      <c r="B42" s="525" t="s">
        <v>645</v>
      </c>
      <c r="C42" s="428">
        <v>0</v>
      </c>
      <c r="D42" s="428"/>
      <c r="E42" s="595">
        <v>0</v>
      </c>
      <c r="F42" s="596">
        <v>3.12</v>
      </c>
      <c r="G42" s="596">
        <f>4.228+4.466+4.889+5.882</f>
        <v>19.464999999999996</v>
      </c>
      <c r="H42" s="1319">
        <v>39.799999999999997</v>
      </c>
    </row>
    <row r="43" spans="1:12">
      <c r="A43" s="554"/>
      <c r="B43" s="525" t="s">
        <v>646</v>
      </c>
      <c r="C43" s="428">
        <f>C40+C41-C42</f>
        <v>700</v>
      </c>
      <c r="D43" s="428"/>
      <c r="E43" s="595">
        <f>E40+E41-E42</f>
        <v>153.11000000000001</v>
      </c>
      <c r="F43" s="596">
        <f>F40+F41-F42</f>
        <v>202.92000000000002</v>
      </c>
      <c r="G43" s="595">
        <f>G40+G41-G42</f>
        <v>420.30500000000006</v>
      </c>
      <c r="H43" s="1322">
        <f>H40+H41-H42</f>
        <v>546.90500000000009</v>
      </c>
      <c r="J43">
        <f>H38+H41</f>
        <v>609.29000000000008</v>
      </c>
    </row>
    <row r="44" spans="1:12">
      <c r="A44" s="554"/>
      <c r="B44" s="525" t="s">
        <v>647</v>
      </c>
      <c r="C44" s="428">
        <f>AVERAGE(C40,C43)</f>
        <v>350</v>
      </c>
      <c r="D44" s="428"/>
      <c r="E44" s="595">
        <f>O82</f>
        <v>142.69426470588235</v>
      </c>
      <c r="F44" s="596">
        <f>O99</f>
        <v>167.21508333333338</v>
      </c>
      <c r="G44" s="596">
        <f>O123</f>
        <v>234.69191095890415</v>
      </c>
      <c r="H44" s="1319">
        <f>AVERAGE(H40,H43)</f>
        <v>483.60500000000008</v>
      </c>
    </row>
    <row r="45" spans="1:12">
      <c r="A45" s="554"/>
      <c r="B45" s="423" t="s">
        <v>648</v>
      </c>
      <c r="C45" s="428">
        <v>9.2899999999999996E-2</v>
      </c>
      <c r="D45" s="428"/>
      <c r="E45" s="594">
        <f>E46*365/(E44*$E$14)</f>
        <v>9.8555014268474059E-2</v>
      </c>
      <c r="F45" s="594">
        <f>F46*365/(F44*$F$14)</f>
        <v>9.4952558605907234E-2</v>
      </c>
      <c r="G45" s="594">
        <f>G46/G44</f>
        <v>0.10654393625172073</v>
      </c>
      <c r="H45" s="1323">
        <f>H46/H44</f>
        <v>8.0396191106378134E-2</v>
      </c>
    </row>
    <row r="46" spans="1:12">
      <c r="A46" s="554"/>
      <c r="B46" s="525" t="s">
        <v>426</v>
      </c>
      <c r="C46" s="428">
        <f>C44*C45</f>
        <v>32.515000000000001</v>
      </c>
      <c r="D46" s="428"/>
      <c r="E46" s="259">
        <v>2.62</v>
      </c>
      <c r="F46" s="259">
        <v>5.22</v>
      </c>
      <c r="G46" s="597">
        <f>4.544+4.909+5.806+9.746</f>
        <v>25.005000000000003</v>
      </c>
      <c r="H46" s="1315">
        <v>38.880000000000003</v>
      </c>
    </row>
    <row r="47" spans="1:12">
      <c r="A47" s="554"/>
      <c r="B47" s="525"/>
      <c r="C47" s="428"/>
      <c r="D47" s="428"/>
      <c r="E47" s="597"/>
      <c r="F47" s="597"/>
      <c r="G47" s="597"/>
      <c r="H47" s="1319"/>
    </row>
    <row r="48" spans="1:12">
      <c r="A48" s="554"/>
      <c r="B48" s="525"/>
      <c r="C48" s="428"/>
      <c r="D48" s="428"/>
      <c r="E48" s="597"/>
      <c r="F48" s="597"/>
      <c r="G48" s="597"/>
      <c r="H48" s="1319"/>
    </row>
    <row r="49" spans="1:13">
      <c r="A49" s="554">
        <v>4</v>
      </c>
      <c r="B49" s="423" t="s">
        <v>650</v>
      </c>
      <c r="C49" s="424"/>
      <c r="D49" s="424"/>
      <c r="E49" s="526"/>
      <c r="F49" s="526"/>
      <c r="G49" s="526"/>
      <c r="H49" s="553"/>
    </row>
    <row r="50" spans="1:13">
      <c r="A50" s="554"/>
      <c r="B50" s="423" t="s">
        <v>651</v>
      </c>
      <c r="C50" s="422">
        <f>C16+C27</f>
        <v>3478.66</v>
      </c>
      <c r="D50" s="422"/>
      <c r="E50" s="438">
        <f>E16+E27+E38</f>
        <v>4457.6500000000005</v>
      </c>
      <c r="F50" s="438">
        <f>F16+F27+F38</f>
        <v>4624.1099999999997</v>
      </c>
      <c r="G50" s="438">
        <f>G16+G27+G38</f>
        <v>4767.12</v>
      </c>
      <c r="H50" s="1314">
        <f>H16+H27+H38</f>
        <v>5003.97</v>
      </c>
    </row>
    <row r="51" spans="1:13" ht="36">
      <c r="A51" s="554"/>
      <c r="B51" s="525" t="s">
        <v>641</v>
      </c>
      <c r="C51" s="424"/>
      <c r="D51" s="424"/>
      <c r="E51" s="438">
        <f t="shared" ref="E51:G58" si="1">E17+E28+E39</f>
        <v>0</v>
      </c>
      <c r="F51" s="438">
        <f t="shared" si="1"/>
        <v>0</v>
      </c>
      <c r="G51" s="438">
        <f t="shared" si="1"/>
        <v>96.26700000000001</v>
      </c>
      <c r="H51" s="1314">
        <f t="shared" ref="H51:H56" si="2">H17+H28+H39</f>
        <v>495.98266666666666</v>
      </c>
    </row>
    <row r="52" spans="1:13">
      <c r="A52" s="554"/>
      <c r="B52" s="525" t="s">
        <v>643</v>
      </c>
      <c r="C52" s="422">
        <f>C29+C18</f>
        <v>3478.66</v>
      </c>
      <c r="D52" s="422"/>
      <c r="E52" s="438">
        <f t="shared" si="1"/>
        <v>4457.6500000000005</v>
      </c>
      <c r="F52" s="438">
        <f t="shared" si="1"/>
        <v>4624.1099999999997</v>
      </c>
      <c r="G52" s="438">
        <f t="shared" si="1"/>
        <v>4670.8530000000001</v>
      </c>
      <c r="H52" s="1314">
        <f t="shared" si="2"/>
        <v>4507.9873333333335</v>
      </c>
    </row>
    <row r="53" spans="1:13" ht="24">
      <c r="A53" s="554"/>
      <c r="B53" s="525" t="s">
        <v>644</v>
      </c>
      <c r="C53" s="422">
        <f>C19+C30</f>
        <v>1201.3399999999999</v>
      </c>
      <c r="D53" s="422"/>
      <c r="E53" s="438">
        <f t="shared" si="1"/>
        <v>166.46</v>
      </c>
      <c r="F53" s="438">
        <f t="shared" si="1"/>
        <v>143.01</v>
      </c>
      <c r="G53" s="438">
        <f t="shared" si="1"/>
        <v>236.85000000000002</v>
      </c>
      <c r="H53" s="1314">
        <f t="shared" si="2"/>
        <v>194.64000000000001</v>
      </c>
    </row>
    <row r="54" spans="1:13" ht="24">
      <c r="A54" s="554"/>
      <c r="B54" s="525" t="s">
        <v>645</v>
      </c>
      <c r="C54" s="424" t="s">
        <v>653</v>
      </c>
      <c r="D54" s="424"/>
      <c r="E54" s="438">
        <f t="shared" si="1"/>
        <v>0</v>
      </c>
      <c r="F54" s="438">
        <f t="shared" si="1"/>
        <v>96.26700000000001</v>
      </c>
      <c r="G54" s="438">
        <f t="shared" si="1"/>
        <v>399.71566666666666</v>
      </c>
      <c r="H54" s="1314">
        <f t="shared" si="2"/>
        <v>420.35666666666668</v>
      </c>
    </row>
    <row r="55" spans="1:13">
      <c r="A55" s="554"/>
      <c r="B55" s="525" t="s">
        <v>646</v>
      </c>
      <c r="C55" s="422">
        <f>C21+C32</f>
        <v>4680</v>
      </c>
      <c r="D55" s="422"/>
      <c r="E55" s="438">
        <f t="shared" si="1"/>
        <v>4624.1099999999997</v>
      </c>
      <c r="F55" s="438">
        <f t="shared" si="1"/>
        <v>4670.8530000000001</v>
      </c>
      <c r="G55" s="438">
        <f t="shared" si="1"/>
        <v>4507.9873333333335</v>
      </c>
      <c r="H55" s="1314">
        <f t="shared" si="2"/>
        <v>4282.2706666666672</v>
      </c>
    </row>
    <row r="56" spans="1:13">
      <c r="A56" s="554"/>
      <c r="B56" s="525" t="s">
        <v>647</v>
      </c>
      <c r="C56" s="422">
        <f>AVERAGE(C52,C55)</f>
        <v>4079.33</v>
      </c>
      <c r="D56" s="422"/>
      <c r="E56" s="438">
        <f t="shared" si="1"/>
        <v>4575.4402941176468</v>
      </c>
      <c r="F56" s="438">
        <f t="shared" si="1"/>
        <v>4623.3702083333337</v>
      </c>
      <c r="G56" s="438">
        <f t="shared" si="1"/>
        <v>4512.499577625571</v>
      </c>
      <c r="H56" s="1314">
        <f t="shared" si="2"/>
        <v>4395.1290000000008</v>
      </c>
    </row>
    <row r="57" spans="1:13">
      <c r="A57" s="554"/>
      <c r="B57" s="423" t="s">
        <v>648</v>
      </c>
      <c r="C57" s="426">
        <f>C58/C56</f>
        <v>0.11218965369313098</v>
      </c>
      <c r="D57" s="426"/>
      <c r="E57" s="594">
        <f>E58*365/(E56*$E14)</f>
        <v>0.1169154598236351</v>
      </c>
      <c r="F57" s="594">
        <f>F58*365/(F56*$F14)</f>
        <v>9.9058420451495127E-2</v>
      </c>
      <c r="G57" s="594">
        <f>G58*365/(G56*$G14)</f>
        <v>9.3765105729414516E-2</v>
      </c>
      <c r="H57" s="1323">
        <f>H58*365/(H56*$G14)</f>
        <v>9.139334767698111E-2</v>
      </c>
    </row>
    <row r="58" spans="1:13">
      <c r="A58" s="554"/>
      <c r="B58" s="525" t="s">
        <v>426</v>
      </c>
      <c r="C58" s="425">
        <f>C24+C35</f>
        <v>457.65861999999998</v>
      </c>
      <c r="D58" s="425"/>
      <c r="E58" s="438">
        <f t="shared" si="1"/>
        <v>99.66</v>
      </c>
      <c r="F58" s="438">
        <f t="shared" si="1"/>
        <v>150.57</v>
      </c>
      <c r="G58" s="438">
        <f t="shared" si="1"/>
        <v>423.11500000000001</v>
      </c>
      <c r="H58" s="1314">
        <f>H24+H35+H46</f>
        <v>401.68555278218236</v>
      </c>
    </row>
    <row r="59" spans="1:13" ht="32.450000000000003" customHeight="1">
      <c r="A59" s="1707"/>
      <c r="B59" s="1708"/>
      <c r="C59" s="1708"/>
      <c r="D59" s="1708"/>
      <c r="E59" s="1708"/>
      <c r="F59" s="1708"/>
      <c r="G59" s="1708"/>
      <c r="H59" s="1709"/>
      <c r="M59" s="420"/>
    </row>
    <row r="60" spans="1:13" ht="13.5">
      <c r="A60" s="889"/>
      <c r="B60" s="418"/>
      <c r="C60" s="418"/>
      <c r="D60" s="418"/>
      <c r="E60" s="418"/>
      <c r="F60" s="418"/>
      <c r="G60" s="418"/>
      <c r="H60" s="1324"/>
    </row>
    <row r="61" spans="1:13" ht="31.15" customHeight="1">
      <c r="A61" s="1710" t="s">
        <v>993</v>
      </c>
      <c r="B61" s="1711"/>
      <c r="C61" s="1711"/>
      <c r="D61" s="1711"/>
      <c r="E61" s="1711"/>
      <c r="F61" s="1711"/>
      <c r="G61" s="1711"/>
      <c r="H61" s="1712"/>
      <c r="M61" s="419"/>
    </row>
    <row r="62" spans="1:13" ht="21">
      <c r="A62" s="523"/>
      <c r="B62" s="524"/>
      <c r="C62" s="524"/>
      <c r="D62" s="524"/>
      <c r="E62" s="524"/>
      <c r="F62" s="524"/>
      <c r="G62" s="524"/>
      <c r="H62" s="1325"/>
    </row>
    <row r="63" spans="1:13" ht="42" customHeight="1" thickBot="1">
      <c r="A63" s="890"/>
      <c r="B63" s="417"/>
      <c r="C63" s="417"/>
      <c r="D63" s="417"/>
      <c r="E63" s="417"/>
      <c r="F63" s="417"/>
      <c r="G63" s="417"/>
      <c r="H63" s="1326"/>
    </row>
    <row r="65" spans="2:16">
      <c r="B65" s="168" t="s">
        <v>810</v>
      </c>
    </row>
    <row r="68" spans="2:16">
      <c r="B68" t="s">
        <v>659</v>
      </c>
    </row>
    <row r="69" spans="2:16">
      <c r="E69" s="297">
        <v>367.13</v>
      </c>
      <c r="F69" s="297">
        <v>68</v>
      </c>
    </row>
    <row r="70" spans="2:16">
      <c r="B70" s="405">
        <v>42658</v>
      </c>
      <c r="E70" s="297">
        <v>123.87</v>
      </c>
      <c r="F70" s="297">
        <f>B72-B70</f>
        <v>47</v>
      </c>
    </row>
    <row r="71" spans="2:16">
      <c r="L71" t="s">
        <v>804</v>
      </c>
    </row>
    <row r="72" spans="2:16">
      <c r="B72" s="405">
        <v>42705</v>
      </c>
      <c r="E72">
        <f>SUMPRODUCT(E69:E70,F69:F70)/68</f>
        <v>452.74602941176471</v>
      </c>
    </row>
    <row r="73" spans="2:16">
      <c r="L73" t="s">
        <v>659</v>
      </c>
    </row>
    <row r="75" spans="2:16">
      <c r="O75" s="168"/>
    </row>
    <row r="76" spans="2:16">
      <c r="O76" s="168" t="s">
        <v>805</v>
      </c>
    </row>
    <row r="77" spans="2:16">
      <c r="O77">
        <v>110.52</v>
      </c>
      <c r="P77">
        <f>E14</f>
        <v>68</v>
      </c>
    </row>
    <row r="78" spans="2:16">
      <c r="L78" s="405">
        <v>42643</v>
      </c>
      <c r="O78">
        <v>24.21</v>
      </c>
      <c r="P78">
        <f>L82-L78+1</f>
        <v>63</v>
      </c>
    </row>
    <row r="79" spans="2:16">
      <c r="L79" s="405">
        <v>42657</v>
      </c>
      <c r="O79">
        <v>12.28</v>
      </c>
      <c r="P79">
        <f>L82-L79+1</f>
        <v>49</v>
      </c>
    </row>
    <row r="80" spans="2:16">
      <c r="L80" s="405">
        <v>42696</v>
      </c>
      <c r="O80">
        <v>6.09</v>
      </c>
      <c r="P80">
        <f>L82-L80+1</f>
        <v>10</v>
      </c>
    </row>
    <row r="82" spans="2:16">
      <c r="B82" t="s">
        <v>655</v>
      </c>
      <c r="L82" s="405">
        <v>42705</v>
      </c>
      <c r="O82">
        <f>SUMPRODUCT(O77:O80,P77:P80)/68</f>
        <v>142.69426470588235</v>
      </c>
    </row>
    <row r="83" spans="2:16">
      <c r="E83">
        <f>F29</f>
        <v>491</v>
      </c>
      <c r="F83">
        <v>120</v>
      </c>
      <c r="O83" s="416"/>
    </row>
    <row r="84" spans="2:16">
      <c r="B84" s="405">
        <v>42750</v>
      </c>
      <c r="E84">
        <v>-10</v>
      </c>
      <c r="F84">
        <f>$B$90-B84+1</f>
        <v>76</v>
      </c>
      <c r="O84" s="416"/>
    </row>
    <row r="85" spans="2:16">
      <c r="B85" s="405">
        <v>42751</v>
      </c>
      <c r="E85">
        <v>67.78</v>
      </c>
      <c r="F85">
        <f>$B$90-B85+1</f>
        <v>75</v>
      </c>
      <c r="O85" s="416"/>
    </row>
    <row r="86" spans="2:16">
      <c r="B86" s="405">
        <v>42816</v>
      </c>
      <c r="E86">
        <v>9.5399999999999991</v>
      </c>
      <c r="F86">
        <f>$B$90-B86+1</f>
        <v>10</v>
      </c>
      <c r="O86" s="416"/>
    </row>
    <row r="87" spans="2:16">
      <c r="B87" s="405">
        <v>42824</v>
      </c>
      <c r="E87">
        <v>5.73</v>
      </c>
      <c r="F87">
        <f>$B$90-B87+1</f>
        <v>2</v>
      </c>
      <c r="L87" t="s">
        <v>655</v>
      </c>
    </row>
    <row r="88" spans="2:16">
      <c r="B88" s="405">
        <v>42825</v>
      </c>
      <c r="E88">
        <v>7.03</v>
      </c>
      <c r="F88">
        <f>$B$90-B88+1</f>
        <v>1</v>
      </c>
    </row>
    <row r="90" spans="2:16">
      <c r="B90" s="405">
        <v>42825</v>
      </c>
      <c r="E90">
        <f>SUMPRODUCT(E83:E88,F83:F88)/120</f>
        <v>527.97825</v>
      </c>
      <c r="O90" t="s">
        <v>805</v>
      </c>
    </row>
    <row r="92" spans="2:16">
      <c r="O92" s="416">
        <f>E43</f>
        <v>153.11000000000001</v>
      </c>
      <c r="P92">
        <f>F14</f>
        <v>120</v>
      </c>
    </row>
    <row r="93" spans="2:16">
      <c r="L93" s="405">
        <v>42750</v>
      </c>
      <c r="O93" s="416">
        <v>-3.1</v>
      </c>
      <c r="P93">
        <f>$L$99-L93+1</f>
        <v>76</v>
      </c>
    </row>
    <row r="94" spans="2:16">
      <c r="L94" s="405">
        <v>42765</v>
      </c>
      <c r="O94">
        <v>28.78</v>
      </c>
      <c r="P94">
        <f>$L$99-L94+1</f>
        <v>61</v>
      </c>
    </row>
    <row r="95" spans="2:16">
      <c r="L95" s="405">
        <v>42786</v>
      </c>
      <c r="O95">
        <v>1.85</v>
      </c>
      <c r="P95">
        <f>$L$99-L95+1</f>
        <v>40</v>
      </c>
    </row>
    <row r="96" spans="2:16">
      <c r="L96" s="405">
        <v>42817</v>
      </c>
      <c r="O96">
        <v>9.5399999999999991</v>
      </c>
      <c r="P96">
        <f>$L$99-L96+1</f>
        <v>9</v>
      </c>
    </row>
    <row r="97" spans="12:16">
      <c r="L97" s="405">
        <v>42825</v>
      </c>
      <c r="O97">
        <v>12.77</v>
      </c>
      <c r="P97">
        <f>$L$99-L97+1</f>
        <v>1</v>
      </c>
    </row>
    <row r="99" spans="12:16">
      <c r="L99" s="405">
        <v>42825</v>
      </c>
      <c r="O99">
        <f>SUMPRODUCT(O92:O97,P92:P97)/120</f>
        <v>167.21508333333338</v>
      </c>
    </row>
    <row r="104" spans="12:16">
      <c r="L104" s="526" t="s">
        <v>633</v>
      </c>
    </row>
    <row r="105" spans="12:16">
      <c r="L105" s="526" t="s">
        <v>637</v>
      </c>
    </row>
    <row r="109" spans="12:16">
      <c r="O109" t="s">
        <v>805</v>
      </c>
    </row>
    <row r="111" spans="12:16">
      <c r="O111" s="416">
        <f>G40-G42/2</f>
        <v>193.18750000000003</v>
      </c>
      <c r="P111">
        <v>365</v>
      </c>
    </row>
    <row r="112" spans="12:16">
      <c r="L112" s="405">
        <v>42919</v>
      </c>
      <c r="O112" s="416">
        <v>11.22</v>
      </c>
      <c r="P112">
        <f t="shared" ref="P112:P118" si="3">$L$123-L112+1</f>
        <v>272</v>
      </c>
    </row>
    <row r="113" spans="12:16">
      <c r="L113" s="405">
        <v>42978</v>
      </c>
      <c r="O113">
        <v>19.43</v>
      </c>
      <c r="P113">
        <f t="shared" si="3"/>
        <v>213</v>
      </c>
    </row>
    <row r="114" spans="12:16">
      <c r="L114" s="405">
        <v>43104</v>
      </c>
      <c r="O114">
        <v>0.24</v>
      </c>
      <c r="P114">
        <f t="shared" si="3"/>
        <v>87</v>
      </c>
    </row>
    <row r="115" spans="12:16">
      <c r="L115" s="405">
        <v>43039</v>
      </c>
      <c r="O115">
        <v>44.67</v>
      </c>
      <c r="P115">
        <f t="shared" si="3"/>
        <v>152</v>
      </c>
    </row>
    <row r="116" spans="12:16">
      <c r="L116" s="405">
        <v>43104</v>
      </c>
      <c r="O116">
        <v>8.68</v>
      </c>
      <c r="P116">
        <f t="shared" si="3"/>
        <v>87</v>
      </c>
    </row>
    <row r="117" spans="12:16">
      <c r="L117" s="405">
        <v>43139</v>
      </c>
      <c r="O117">
        <v>4.71</v>
      </c>
      <c r="P117">
        <f t="shared" si="3"/>
        <v>52</v>
      </c>
    </row>
    <row r="118" spans="12:16">
      <c r="L118" s="405">
        <v>43190</v>
      </c>
      <c r="O118">
        <v>147.88</v>
      </c>
      <c r="P118">
        <f t="shared" si="3"/>
        <v>1</v>
      </c>
    </row>
    <row r="123" spans="12:16">
      <c r="L123" s="405">
        <v>43190</v>
      </c>
      <c r="O123">
        <f>SUMPRODUCT(O111:O118,P111:P118)/365</f>
        <v>234.69191095890415</v>
      </c>
    </row>
  </sheetData>
  <mergeCells count="9">
    <mergeCell ref="A59:H59"/>
    <mergeCell ref="A61:H61"/>
    <mergeCell ref="G9:H9"/>
    <mergeCell ref="A4:H4"/>
    <mergeCell ref="A6:H6"/>
    <mergeCell ref="A7:H7"/>
    <mergeCell ref="B10:B11"/>
    <mergeCell ref="E11:F11"/>
    <mergeCell ref="A10:A11"/>
  </mergeCells>
  <pageMargins left="0.70866141732283472" right="0.70866141732283472" top="0.74803149606299213" bottom="0.74803149606299213" header="0.31496062992125984" footer="0.31496062992125984"/>
  <pageSetup paperSize="9" scale="65" orientation="portrait" horizontalDpi="4294967293" r:id="rId1"/>
</worksheet>
</file>

<file path=xl/worksheets/sheet23.xml><?xml version="1.0" encoding="utf-8"?>
<worksheet xmlns="http://schemas.openxmlformats.org/spreadsheetml/2006/main" xmlns:r="http://schemas.openxmlformats.org/officeDocument/2006/relationships">
  <sheetPr>
    <tabColor rgb="FF00B050"/>
  </sheetPr>
  <dimension ref="A1:N33"/>
  <sheetViews>
    <sheetView topLeftCell="A10" workbookViewId="0">
      <selection activeCell="L19" sqref="L19"/>
    </sheetView>
  </sheetViews>
  <sheetFormatPr defaultRowHeight="12.75"/>
  <cols>
    <col min="1" max="1" width="36" customWidth="1"/>
    <col min="2" max="5" width="20.83203125" hidden="1" customWidth="1"/>
    <col min="6" max="6" width="15.1640625" customWidth="1"/>
    <col min="7" max="7" width="15.83203125" customWidth="1"/>
    <col min="8" max="10" width="14.5" customWidth="1"/>
    <col min="12" max="12" width="21.5" customWidth="1"/>
  </cols>
  <sheetData>
    <row r="1" spans="1:14" ht="15.75">
      <c r="A1" s="894"/>
      <c r="B1" s="895"/>
      <c r="C1" s="895"/>
      <c r="D1" s="895"/>
      <c r="E1" s="896"/>
      <c r="F1" s="896"/>
      <c r="G1" s="896"/>
      <c r="H1" s="896"/>
      <c r="I1" s="892" t="s">
        <v>869</v>
      </c>
      <c r="J1" s="897"/>
    </row>
    <row r="2" spans="1:14" ht="15.75">
      <c r="A2" s="898"/>
      <c r="B2" s="899"/>
      <c r="C2" s="899"/>
      <c r="D2" s="899"/>
      <c r="E2" s="883"/>
      <c r="F2" s="883"/>
      <c r="G2" s="883"/>
      <c r="H2" s="883"/>
      <c r="I2" s="893" t="s">
        <v>875</v>
      </c>
      <c r="J2" s="884"/>
    </row>
    <row r="3" spans="1:14" ht="15.75">
      <c r="A3" s="898"/>
      <c r="B3" s="899"/>
      <c r="C3" s="899"/>
      <c r="D3" s="899"/>
      <c r="E3" s="899"/>
      <c r="F3" s="883"/>
      <c r="G3" s="883"/>
      <c r="H3" s="883"/>
      <c r="I3" s="883"/>
      <c r="J3" s="884"/>
    </row>
    <row r="4" spans="1:14" ht="21">
      <c r="A4" s="1724" t="s">
        <v>981</v>
      </c>
      <c r="B4" s="1725"/>
      <c r="C4" s="1725"/>
      <c r="D4" s="1725"/>
      <c r="E4" s="1725"/>
      <c r="F4" s="1725"/>
      <c r="G4" s="1725"/>
      <c r="H4" s="1725"/>
      <c r="I4" s="1725"/>
      <c r="J4" s="1726"/>
    </row>
    <row r="5" spans="1:14" ht="15.75">
      <c r="A5" s="898"/>
      <c r="B5" s="899"/>
      <c r="C5" s="899"/>
      <c r="D5" s="899"/>
      <c r="E5" s="899"/>
      <c r="F5" s="883"/>
      <c r="G5" s="883"/>
      <c r="H5" s="883"/>
      <c r="I5" s="883"/>
      <c r="J5" s="884"/>
    </row>
    <row r="6" spans="1:14" ht="15.75">
      <c r="A6" s="900" t="s">
        <v>1031</v>
      </c>
      <c r="C6" s="899"/>
      <c r="D6" s="899"/>
      <c r="E6" s="899"/>
      <c r="F6" s="899" t="str">
        <f>'Form 5B '!E7</f>
        <v>The Singareni Collieries Company Limited</v>
      </c>
      <c r="G6" s="883"/>
      <c r="H6" s="883"/>
      <c r="I6" s="883"/>
      <c r="J6" s="884"/>
    </row>
    <row r="7" spans="1:14" ht="15.75">
      <c r="A7" s="900" t="s">
        <v>1032</v>
      </c>
      <c r="C7" s="899"/>
      <c r="D7" s="899"/>
      <c r="E7" s="899"/>
      <c r="F7" s="899" t="str">
        <f>'Form 5B '!E8</f>
        <v>Singareni Thermal Power Project</v>
      </c>
      <c r="G7" s="883"/>
      <c r="H7" s="883"/>
      <c r="I7" s="883"/>
      <c r="J7" s="884"/>
    </row>
    <row r="8" spans="1:14" ht="15.75">
      <c r="A8" s="900"/>
      <c r="B8" s="899"/>
      <c r="C8" s="899"/>
      <c r="D8" s="899"/>
      <c r="E8" s="899"/>
      <c r="F8" s="883"/>
      <c r="G8" s="883"/>
      <c r="H8" s="883"/>
      <c r="I8" s="883"/>
      <c r="J8" s="884"/>
    </row>
    <row r="9" spans="1:14" ht="15.75">
      <c r="A9" s="898"/>
      <c r="B9" s="899"/>
      <c r="C9" s="899"/>
      <c r="D9" s="883"/>
      <c r="E9" s="883"/>
      <c r="F9" s="883"/>
      <c r="G9" s="883"/>
      <c r="H9" s="883"/>
      <c r="I9" s="1727" t="s">
        <v>995</v>
      </c>
      <c r="J9" s="1728"/>
    </row>
    <row r="10" spans="1:14" ht="31.5">
      <c r="A10" s="508" t="s">
        <v>871</v>
      </c>
      <c r="B10" s="507" t="str">
        <f>'Form 14'!C11</f>
        <v>From COD Unit 1 to COD of Unit 2</v>
      </c>
      <c r="C10" s="507" t="str">
        <f>'Form 14'!D11</f>
        <v>From COD Unit 2 to 31.03.2017</v>
      </c>
      <c r="D10" s="507" t="str">
        <f>'Form 14'!E11</f>
        <v>FY 2017-18</v>
      </c>
      <c r="E10" s="658" t="str">
        <f>'Form 14'!F11</f>
        <v>FY 2018-19</v>
      </c>
      <c r="F10" s="507" t="s">
        <v>1016</v>
      </c>
      <c r="G10" s="658" t="s">
        <v>1017</v>
      </c>
      <c r="H10" s="507" t="s">
        <v>1018</v>
      </c>
      <c r="I10" s="507" t="s">
        <v>1019</v>
      </c>
      <c r="J10" s="530" t="s">
        <v>1020</v>
      </c>
    </row>
    <row r="11" spans="1:14" ht="15.75">
      <c r="A11" s="508">
        <v>1</v>
      </c>
      <c r="B11" s="901">
        <v>2</v>
      </c>
      <c r="C11" s="901">
        <v>3</v>
      </c>
      <c r="D11" s="901">
        <v>4</v>
      </c>
      <c r="E11" s="902">
        <v>5</v>
      </c>
      <c r="F11" s="901">
        <v>6</v>
      </c>
      <c r="G11" s="902">
        <v>7</v>
      </c>
      <c r="H11" s="901">
        <v>8</v>
      </c>
      <c r="I11" s="902">
        <v>9</v>
      </c>
      <c r="J11" s="903">
        <v>10</v>
      </c>
    </row>
    <row r="12" spans="1:14" ht="15.75">
      <c r="A12" s="904" t="s">
        <v>617</v>
      </c>
      <c r="B12" s="905">
        <v>68</v>
      </c>
      <c r="C12" s="905">
        <v>120</v>
      </c>
      <c r="D12" s="905">
        <v>365</v>
      </c>
      <c r="E12" s="906">
        <v>365</v>
      </c>
      <c r="F12" s="881"/>
      <c r="G12" s="907"/>
      <c r="H12" s="881"/>
      <c r="I12" s="881"/>
      <c r="J12" s="882"/>
    </row>
    <row r="13" spans="1:14" ht="15.75">
      <c r="A13" s="908" t="s">
        <v>427</v>
      </c>
      <c r="B13" s="909"/>
      <c r="C13" s="909"/>
      <c r="D13" s="909"/>
      <c r="E13" s="910"/>
      <c r="F13" s="881"/>
      <c r="G13" s="907"/>
      <c r="H13" s="881"/>
      <c r="I13" s="881"/>
      <c r="J13" s="882"/>
    </row>
    <row r="14" spans="1:14" ht="15.75">
      <c r="A14" s="911" t="s">
        <v>428</v>
      </c>
      <c r="B14" s="518">
        <f>'App-IV input Capital cost'!G41</f>
        <v>3715.5432467305568</v>
      </c>
      <c r="C14" s="519">
        <f>'App-IV input Capital cost'!E20</f>
        <v>7114.8199999999988</v>
      </c>
      <c r="D14" s="518">
        <f t="shared" ref="D14:J14" si="0">C17</f>
        <v>7210.44</v>
      </c>
      <c r="E14" s="659">
        <f t="shared" si="0"/>
        <v>7611.94</v>
      </c>
      <c r="F14" s="1077">
        <f t="shared" si="0"/>
        <v>8461</v>
      </c>
      <c r="G14" s="1077">
        <f t="shared" si="0"/>
        <v>8461</v>
      </c>
      <c r="H14" s="1077">
        <f t="shared" si="0"/>
        <v>8691.75</v>
      </c>
      <c r="I14" s="1077">
        <f t="shared" si="0"/>
        <v>8986.3799999999992</v>
      </c>
      <c r="J14" s="1078">
        <f t="shared" si="0"/>
        <v>9809.56</v>
      </c>
    </row>
    <row r="15" spans="1:14" ht="31.5">
      <c r="A15" s="911" t="s">
        <v>1183</v>
      </c>
      <c r="B15" s="520">
        <v>0</v>
      </c>
      <c r="C15" s="519">
        <f>'App-IV input Capital cost'!E21</f>
        <v>72.53000000000047</v>
      </c>
      <c r="D15" s="519">
        <f>'App-IV input Capital cost'!F21</f>
        <v>191.1999999999999</v>
      </c>
      <c r="E15" s="660">
        <v>757.86</v>
      </c>
      <c r="F15" s="1077">
        <v>0</v>
      </c>
      <c r="G15" s="1079">
        <f>214.75+16</f>
        <v>230.75</v>
      </c>
      <c r="H15" s="1077">
        <f>157.63+N16</f>
        <v>294.63</v>
      </c>
      <c r="I15" s="1077">
        <v>823.18</v>
      </c>
      <c r="J15" s="1078">
        <v>0</v>
      </c>
    </row>
    <row r="16" spans="1:14" ht="38.25">
      <c r="A16" s="911" t="s">
        <v>429</v>
      </c>
      <c r="B16" s="520">
        <v>0</v>
      </c>
      <c r="C16" s="520">
        <f>'App-IV input Capital cost'!E23</f>
        <v>23.089999999999748</v>
      </c>
      <c r="D16" s="520">
        <f>'App-IV input Capital cost'!F23</f>
        <v>210.30000000000018</v>
      </c>
      <c r="E16" s="661">
        <v>91.2</v>
      </c>
      <c r="F16" s="1077">
        <v>0</v>
      </c>
      <c r="G16" s="1077">
        <v>0</v>
      </c>
      <c r="H16" s="1077">
        <v>0</v>
      </c>
      <c r="I16" s="1077">
        <v>0</v>
      </c>
      <c r="J16" s="1078">
        <v>0</v>
      </c>
      <c r="L16" s="1464" t="s">
        <v>1401</v>
      </c>
      <c r="M16">
        <v>16</v>
      </c>
      <c r="N16">
        <v>137</v>
      </c>
    </row>
    <row r="17" spans="1:10" ht="15.75">
      <c r="A17" s="911" t="s">
        <v>430</v>
      </c>
      <c r="B17" s="518">
        <f>B14+B15+B16</f>
        <v>3715.5432467305568</v>
      </c>
      <c r="C17" s="518">
        <f>C14+C15+C16</f>
        <v>7210.44</v>
      </c>
      <c r="D17" s="518">
        <f>D14+D15+D16</f>
        <v>7611.94</v>
      </c>
      <c r="E17" s="659">
        <f>E14+E15+E16</f>
        <v>8461</v>
      </c>
      <c r="F17" s="1077">
        <f>F14+F15</f>
        <v>8461</v>
      </c>
      <c r="G17" s="1077">
        <f>G14+G15</f>
        <v>8691.75</v>
      </c>
      <c r="H17" s="1077">
        <f>H14+H15</f>
        <v>8986.3799999999992</v>
      </c>
      <c r="I17" s="1077">
        <f>I14+I15</f>
        <v>9809.56</v>
      </c>
      <c r="J17" s="1078">
        <f>J14+J15</f>
        <v>9809.56</v>
      </c>
    </row>
    <row r="18" spans="1:10" ht="15.75">
      <c r="A18" s="911" t="s">
        <v>431</v>
      </c>
      <c r="B18" s="518">
        <f>(B14+B17)/2</f>
        <v>3715.5432467305568</v>
      </c>
      <c r="C18" s="518">
        <f>(C14+C17)/2</f>
        <v>7162.6299999999992</v>
      </c>
      <c r="D18" s="518">
        <f>(D14+D17)/2</f>
        <v>7411.19</v>
      </c>
      <c r="E18" s="659">
        <f>(E14+E17)/2</f>
        <v>8036.4699999999993</v>
      </c>
      <c r="F18" s="1077">
        <f>AVERAGE(F14,F17)</f>
        <v>8461</v>
      </c>
      <c r="G18" s="1077">
        <f>AVERAGE(G14,G17)</f>
        <v>8576.375</v>
      </c>
      <c r="H18" s="1077">
        <f>AVERAGE(H14,H17)</f>
        <v>8839.0649999999987</v>
      </c>
      <c r="I18" s="1077">
        <f>AVERAGE(I14,I17)</f>
        <v>9397.9699999999993</v>
      </c>
      <c r="J18" s="1078">
        <f>AVERAGE(J14,J17)</f>
        <v>9809.56</v>
      </c>
    </row>
    <row r="19" spans="1:10" ht="15.75">
      <c r="A19" s="911"/>
      <c r="B19" s="518"/>
      <c r="C19" s="518"/>
      <c r="D19" s="518"/>
      <c r="E19" s="659"/>
      <c r="F19" s="1076"/>
      <c r="G19" s="1080"/>
      <c r="H19" s="1076"/>
      <c r="I19" s="1076"/>
      <c r="J19" s="1081"/>
    </row>
    <row r="20" spans="1:10" ht="15.75">
      <c r="A20" s="912" t="s">
        <v>432</v>
      </c>
      <c r="B20" s="520"/>
      <c r="C20" s="520"/>
      <c r="D20" s="520"/>
      <c r="E20" s="661"/>
      <c r="F20" s="1076"/>
      <c r="G20" s="1080"/>
      <c r="H20" s="1076"/>
      <c r="I20" s="1076"/>
      <c r="J20" s="1081"/>
    </row>
    <row r="21" spans="1:10" ht="31.5">
      <c r="A21" s="911" t="s">
        <v>433</v>
      </c>
      <c r="B21" s="518">
        <f t="shared" ref="B21:J21" si="1">B14*0.3</f>
        <v>1114.662974019167</v>
      </c>
      <c r="C21" s="518">
        <f t="shared" si="1"/>
        <v>2134.4459999999995</v>
      </c>
      <c r="D21" s="518">
        <f t="shared" si="1"/>
        <v>2163.1319999999996</v>
      </c>
      <c r="E21" s="659">
        <f t="shared" si="1"/>
        <v>2283.5819999999999</v>
      </c>
      <c r="F21" s="1077">
        <f t="shared" si="1"/>
        <v>2538.2999999999997</v>
      </c>
      <c r="G21" s="1077">
        <f t="shared" si="1"/>
        <v>2538.2999999999997</v>
      </c>
      <c r="H21" s="1077">
        <f t="shared" si="1"/>
        <v>2607.5250000000001</v>
      </c>
      <c r="I21" s="1077">
        <f t="shared" si="1"/>
        <v>2695.9139999999998</v>
      </c>
      <c r="J21" s="1078">
        <f t="shared" si="1"/>
        <v>2942.8679999999999</v>
      </c>
    </row>
    <row r="22" spans="1:10" ht="63">
      <c r="A22" s="911" t="s">
        <v>994</v>
      </c>
      <c r="B22" s="518">
        <f t="shared" ref="B22:J22" si="2">0.3*(B15+B16)</f>
        <v>0</v>
      </c>
      <c r="C22" s="518">
        <f t="shared" si="2"/>
        <v>28.686000000000064</v>
      </c>
      <c r="D22" s="518">
        <f t="shared" si="2"/>
        <v>120.45000000000003</v>
      </c>
      <c r="E22" s="659">
        <f t="shared" si="2"/>
        <v>254.71800000000002</v>
      </c>
      <c r="F22" s="1077">
        <f t="shared" si="2"/>
        <v>0</v>
      </c>
      <c r="G22" s="1077">
        <f t="shared" si="2"/>
        <v>69.224999999999994</v>
      </c>
      <c r="H22" s="1077">
        <f t="shared" si="2"/>
        <v>88.388999999999996</v>
      </c>
      <c r="I22" s="1077">
        <f t="shared" si="2"/>
        <v>246.95399999999998</v>
      </c>
      <c r="J22" s="1078">
        <f t="shared" si="2"/>
        <v>0</v>
      </c>
    </row>
    <row r="23" spans="1:10" ht="15.75">
      <c r="A23" s="911" t="s">
        <v>434</v>
      </c>
      <c r="B23" s="518">
        <f t="shared" ref="B23:J23" si="3">B21+B22</f>
        <v>1114.662974019167</v>
      </c>
      <c r="C23" s="518">
        <f t="shared" si="3"/>
        <v>2163.1319999999996</v>
      </c>
      <c r="D23" s="518">
        <f t="shared" si="3"/>
        <v>2283.5819999999994</v>
      </c>
      <c r="E23" s="659">
        <f t="shared" si="3"/>
        <v>2538.2999999999997</v>
      </c>
      <c r="F23" s="1077">
        <f t="shared" si="3"/>
        <v>2538.2999999999997</v>
      </c>
      <c r="G23" s="1077">
        <f t="shared" si="3"/>
        <v>2607.5249999999996</v>
      </c>
      <c r="H23" s="1077">
        <f t="shared" si="3"/>
        <v>2695.9140000000002</v>
      </c>
      <c r="I23" s="1077">
        <f t="shared" si="3"/>
        <v>2942.8679999999999</v>
      </c>
      <c r="J23" s="1078">
        <f t="shared" si="3"/>
        <v>2942.8679999999999</v>
      </c>
    </row>
    <row r="24" spans="1:10" ht="15.75">
      <c r="A24" s="911" t="s">
        <v>435</v>
      </c>
      <c r="B24" s="518">
        <f t="shared" ref="B24:J24" si="4">AVERAGE(B21,B23)</f>
        <v>1114.662974019167</v>
      </c>
      <c r="C24" s="518">
        <f t="shared" si="4"/>
        <v>2148.7889999999998</v>
      </c>
      <c r="D24" s="518">
        <f t="shared" si="4"/>
        <v>2223.3569999999995</v>
      </c>
      <c r="E24" s="659">
        <f t="shared" si="4"/>
        <v>2410.9409999999998</v>
      </c>
      <c r="F24" s="1077">
        <f t="shared" si="4"/>
        <v>2538.2999999999997</v>
      </c>
      <c r="G24" s="1077">
        <f t="shared" si="4"/>
        <v>2572.9124999999995</v>
      </c>
      <c r="H24" s="1077">
        <f t="shared" si="4"/>
        <v>2651.7195000000002</v>
      </c>
      <c r="I24" s="1077">
        <f t="shared" si="4"/>
        <v>2819.3909999999996</v>
      </c>
      <c r="J24" s="1078">
        <f t="shared" si="4"/>
        <v>2942.8679999999999</v>
      </c>
    </row>
    <row r="25" spans="1:10" ht="31.5">
      <c r="A25" s="911" t="s">
        <v>1385</v>
      </c>
      <c r="B25" s="518">
        <f>15.5/(1-21.34%)</f>
        <v>19.705059750826344</v>
      </c>
      <c r="C25" s="518">
        <f>15.5/(1-21.34%)</f>
        <v>19.705059750826344</v>
      </c>
      <c r="D25" s="518">
        <f>15.5/(1-21.34%)</f>
        <v>19.705059750826344</v>
      </c>
      <c r="E25" s="659">
        <f>15.5/(1-21.34%)</f>
        <v>19.705059750826344</v>
      </c>
      <c r="F25" s="1328">
        <f>'Form 3'!D14/(1-21.55%)</f>
        <v>0.1975780752071383</v>
      </c>
      <c r="G25" s="1328">
        <f>'Form 3'!E14/(1-21.55%)</f>
        <v>0.1975780752071383</v>
      </c>
      <c r="H25" s="1328">
        <f>'Form 3'!F14/(1-21.55%)</f>
        <v>0.1975780752071383</v>
      </c>
      <c r="I25" s="1328">
        <f>'Form 3'!G14/(1-21.55%)</f>
        <v>0.1975780752071383</v>
      </c>
      <c r="J25" s="1328">
        <f>'Form 3'!H14/(1-21.55%)</f>
        <v>0.1975780752071383</v>
      </c>
    </row>
    <row r="26" spans="1:10" ht="15.75">
      <c r="A26" s="911" t="s">
        <v>1184</v>
      </c>
      <c r="B26" s="518">
        <f>B24*B25%</f>
        <v>219.64500505081477</v>
      </c>
      <c r="C26" s="518">
        <f>C24*C25%</f>
        <v>423.42015636918381</v>
      </c>
      <c r="D26" s="518">
        <f>D24*D25%</f>
        <v>438.11382532417997</v>
      </c>
      <c r="E26" s="659">
        <f>E24*E25%</f>
        <v>475.07736460717007</v>
      </c>
      <c r="F26" s="1077">
        <f>F24*F25</f>
        <v>501.51242829827908</v>
      </c>
      <c r="G26" s="1077">
        <f>G24*G25</f>
        <v>508.3510994263861</v>
      </c>
      <c r="H26" s="1077">
        <f>H24*H25</f>
        <v>523.92163479923522</v>
      </c>
      <c r="I26" s="1077">
        <f>I24*I25</f>
        <v>557.04984703632874</v>
      </c>
      <c r="J26" s="1078">
        <f>J24*J25</f>
        <v>581.44619502868068</v>
      </c>
    </row>
    <row r="27" spans="1:10" ht="15.75">
      <c r="A27" s="913"/>
      <c r="B27" s="914"/>
      <c r="C27" s="914"/>
      <c r="D27" s="914"/>
      <c r="E27" s="914"/>
      <c r="F27" s="883"/>
      <c r="G27" s="883"/>
      <c r="H27" s="883"/>
      <c r="I27" s="883"/>
      <c r="J27" s="884"/>
    </row>
    <row r="28" spans="1:10" ht="15.75">
      <c r="A28" s="915"/>
      <c r="B28" s="916"/>
      <c r="C28" s="916"/>
      <c r="D28" s="916"/>
      <c r="E28" s="916"/>
      <c r="F28" s="883"/>
      <c r="G28" s="883"/>
      <c r="H28" s="883"/>
      <c r="I28" s="883"/>
      <c r="J28" s="884"/>
    </row>
    <row r="29" spans="1:10" ht="15.75">
      <c r="A29" s="915" t="s">
        <v>1185</v>
      </c>
      <c r="B29" s="916"/>
      <c r="C29" s="916"/>
      <c r="D29" s="916"/>
      <c r="E29" s="916"/>
      <c r="F29" s="883"/>
      <c r="G29" s="883"/>
      <c r="H29" s="883"/>
      <c r="I29" s="883"/>
      <c r="J29" s="884"/>
    </row>
    <row r="30" spans="1:10" ht="15.75">
      <c r="A30" s="898"/>
      <c r="B30" s="917"/>
      <c r="C30" s="917"/>
      <c r="D30" s="917"/>
      <c r="E30" s="917"/>
      <c r="F30" s="883"/>
      <c r="G30" s="883"/>
      <c r="H30" s="883"/>
      <c r="I30" s="883"/>
      <c r="J30" s="884"/>
    </row>
    <row r="31" spans="1:10" ht="15.75">
      <c r="A31" s="898"/>
      <c r="B31" s="899"/>
      <c r="C31" s="899"/>
      <c r="D31" s="899"/>
      <c r="E31" s="899"/>
      <c r="F31" s="883"/>
      <c r="G31" s="883"/>
      <c r="H31" s="883"/>
      <c r="I31" s="883"/>
      <c r="J31" s="884"/>
    </row>
    <row r="32" spans="1:10" ht="18.75">
      <c r="A32" s="898"/>
      <c r="B32" s="899"/>
      <c r="C32" s="899"/>
      <c r="D32" s="899"/>
      <c r="E32" s="883"/>
      <c r="F32" s="883"/>
      <c r="G32" s="883"/>
      <c r="H32" s="883"/>
      <c r="I32" s="918" t="s">
        <v>822</v>
      </c>
      <c r="J32" s="884"/>
    </row>
    <row r="33" spans="1:10" ht="16.5" thickBot="1">
      <c r="A33" s="919"/>
      <c r="B33" s="920"/>
      <c r="C33" s="920"/>
      <c r="D33" s="920"/>
      <c r="E33" s="920"/>
      <c r="F33" s="885"/>
      <c r="G33" s="885"/>
      <c r="H33" s="885"/>
      <c r="I33" s="885"/>
      <c r="J33" s="886"/>
    </row>
  </sheetData>
  <mergeCells count="2">
    <mergeCell ref="A4:J4"/>
    <mergeCell ref="I9:J9"/>
  </mergeCells>
  <pageMargins left="0.7" right="0.7" top="0.75" bottom="0.75" header="0.3" footer="0.3"/>
</worksheet>
</file>

<file path=xl/worksheets/sheet24.xml><?xml version="1.0" encoding="utf-8"?>
<worksheet xmlns="http://schemas.openxmlformats.org/spreadsheetml/2006/main" xmlns:r="http://schemas.openxmlformats.org/officeDocument/2006/relationships">
  <sheetPr>
    <tabColor rgb="FF00B050"/>
    <outlinePr summaryBelow="0" summaryRight="0"/>
    <pageSetUpPr fitToPage="1"/>
  </sheetPr>
  <dimension ref="B2:Q31"/>
  <sheetViews>
    <sheetView showGridLines="0" topLeftCell="A11" zoomScaleSheetLayoutView="115" workbookViewId="0">
      <selection activeCell="G22" sqref="G22"/>
    </sheetView>
  </sheetViews>
  <sheetFormatPr defaultColWidth="9.33203125" defaultRowHeight="15.75"/>
  <cols>
    <col min="1" max="1" width="9.33203125" style="135"/>
    <col min="2" max="2" width="7.1640625" style="135" customWidth="1"/>
    <col min="3" max="3" width="51.5" style="135" customWidth="1"/>
    <col min="4" max="4" width="17.5" style="135" customWidth="1"/>
    <col min="5" max="5" width="15.5" style="135" customWidth="1"/>
    <col min="6" max="6" width="15.83203125" style="135" customWidth="1"/>
    <col min="7" max="7" width="16.6640625" style="135" customWidth="1"/>
    <col min="8" max="8" width="14.6640625" style="135" customWidth="1"/>
    <col min="9" max="9" width="14" style="135" customWidth="1"/>
    <col min="10" max="10" width="13.83203125" style="135" customWidth="1"/>
    <col min="11" max="11" width="13.6640625" style="135" customWidth="1"/>
    <col min="12" max="12" width="13.5" style="135" customWidth="1"/>
    <col min="13" max="13" width="9.33203125" style="135"/>
    <col min="14" max="17" width="11.5" style="139" bestFit="1" customWidth="1"/>
    <col min="18" max="16384" width="9.33203125" style="135"/>
  </cols>
  <sheetData>
    <row r="2" spans="2:17" ht="16.5" thickBot="1">
      <c r="G2" s="158"/>
    </row>
    <row r="3" spans="2:17" s="140" customFormat="1">
      <c r="B3" s="141"/>
      <c r="C3" s="142"/>
      <c r="D3" s="142"/>
      <c r="E3" s="142"/>
      <c r="F3" s="142"/>
      <c r="G3" s="142"/>
      <c r="H3" s="142"/>
      <c r="I3" s="142"/>
      <c r="J3" s="142"/>
      <c r="K3" s="142" t="s">
        <v>414</v>
      </c>
      <c r="L3" s="143"/>
      <c r="N3" s="144"/>
      <c r="O3" s="144"/>
      <c r="P3" s="144"/>
      <c r="Q3" s="144"/>
    </row>
    <row r="4" spans="2:17" s="145" customFormat="1">
      <c r="B4" s="150"/>
      <c r="C4" s="140"/>
      <c r="D4" s="146"/>
      <c r="E4" s="146"/>
      <c r="F4" s="140"/>
      <c r="G4" s="140"/>
      <c r="H4" s="140"/>
      <c r="I4" s="140"/>
      <c r="J4" s="140"/>
      <c r="K4" s="146" t="s">
        <v>984</v>
      </c>
      <c r="L4" s="152"/>
      <c r="N4" s="147"/>
      <c r="O4" s="147"/>
      <c r="P4" s="147"/>
      <c r="Q4" s="147"/>
    </row>
    <row r="5" spans="2:17" s="148" customFormat="1" ht="18.75">
      <c r="B5" s="1729" t="s">
        <v>416</v>
      </c>
      <c r="C5" s="1730"/>
      <c r="D5" s="1730"/>
      <c r="E5" s="1730"/>
      <c r="F5" s="1730"/>
      <c r="G5" s="1730"/>
      <c r="H5" s="1730"/>
      <c r="I5" s="1730"/>
      <c r="J5" s="1730"/>
      <c r="K5" s="1730"/>
      <c r="L5" s="1731"/>
      <c r="N5" s="149"/>
      <c r="O5" s="149"/>
      <c r="P5" s="149"/>
      <c r="Q5" s="149"/>
    </row>
    <row r="6" spans="2:17" s="148" customFormat="1">
      <c r="B6" s="617"/>
      <c r="C6" s="618"/>
      <c r="D6" s="618"/>
      <c r="E6" s="618"/>
      <c r="F6" s="618"/>
      <c r="G6" s="618"/>
      <c r="L6" s="667"/>
      <c r="N6" s="149"/>
      <c r="O6" s="149"/>
      <c r="P6" s="149"/>
      <c r="Q6" s="149"/>
    </row>
    <row r="7" spans="2:17" s="140" customFormat="1">
      <c r="B7" s="150" t="s">
        <v>1035</v>
      </c>
      <c r="H7" s="151" t="str">
        <f>'Form 13A'!F6</f>
        <v>The Singareni Collieries Company Limited</v>
      </c>
      <c r="L7" s="152"/>
      <c r="N7" s="144"/>
      <c r="O7" s="144"/>
      <c r="P7" s="144"/>
      <c r="Q7" s="144"/>
    </row>
    <row r="8" spans="2:17" s="140" customFormat="1">
      <c r="B8" s="150" t="s">
        <v>1036</v>
      </c>
      <c r="H8" s="151" t="str">
        <f>'Form 13A'!F7</f>
        <v>Singareni Thermal Power Project</v>
      </c>
      <c r="L8" s="152"/>
      <c r="N8" s="144"/>
      <c r="O8" s="144"/>
      <c r="P8" s="144"/>
      <c r="Q8" s="144"/>
    </row>
    <row r="9" spans="2:17" s="153" customFormat="1">
      <c r="B9" s="154"/>
      <c r="L9" s="155"/>
      <c r="M9" s="153" t="s">
        <v>386</v>
      </c>
      <c r="N9" s="156"/>
      <c r="O9" s="156"/>
      <c r="P9" s="156"/>
      <c r="Q9" s="156"/>
    </row>
    <row r="10" spans="2:17">
      <c r="B10" s="164"/>
      <c r="F10" s="153"/>
      <c r="K10" s="1732" t="s">
        <v>995</v>
      </c>
      <c r="L10" s="1733"/>
    </row>
    <row r="11" spans="2:17" s="159" customFormat="1" ht="63.75" customHeight="1">
      <c r="B11" s="614" t="s">
        <v>417</v>
      </c>
      <c r="C11" s="921" t="s">
        <v>418</v>
      </c>
      <c r="D11" s="160" t="str">
        <f>'Form 14'!C11</f>
        <v>From COD Unit 1 to COD of Unit 2</v>
      </c>
      <c r="E11" s="160" t="str">
        <f>'Form 14'!D11</f>
        <v>From COD Unit 2 to 31.03.2017</v>
      </c>
      <c r="F11" s="160" t="str">
        <f>'Form 14'!E11</f>
        <v>FY 2017-18</v>
      </c>
      <c r="G11" s="662" t="str">
        <f>'Form 14'!F11</f>
        <v>FY 2018-19</v>
      </c>
      <c r="H11" s="160" t="s">
        <v>1016</v>
      </c>
      <c r="I11" s="160" t="s">
        <v>1017</v>
      </c>
      <c r="J11" s="160" t="s">
        <v>1018</v>
      </c>
      <c r="K11" s="160" t="s">
        <v>1019</v>
      </c>
      <c r="L11" s="589" t="s">
        <v>1020</v>
      </c>
      <c r="N11" s="161"/>
      <c r="O11" s="161"/>
      <c r="P11" s="161"/>
      <c r="Q11" s="161"/>
    </row>
    <row r="12" spans="2:17" s="159" customFormat="1" ht="16.899999999999999" customHeight="1">
      <c r="B12" s="616">
        <v>-1</v>
      </c>
      <c r="C12" s="613">
        <v>-2</v>
      </c>
      <c r="D12" s="613">
        <v>-3</v>
      </c>
      <c r="E12" s="613">
        <v>-4</v>
      </c>
      <c r="F12" s="613">
        <v>-5</v>
      </c>
      <c r="G12" s="664">
        <v>-6</v>
      </c>
      <c r="H12" s="613">
        <v>-7</v>
      </c>
      <c r="I12" s="664">
        <v>-8</v>
      </c>
      <c r="J12" s="613">
        <v>-9</v>
      </c>
      <c r="K12" s="664">
        <v>-10</v>
      </c>
      <c r="L12" s="1118">
        <v>-11</v>
      </c>
      <c r="N12" s="161"/>
      <c r="O12" s="161"/>
      <c r="P12" s="161"/>
      <c r="Q12" s="161"/>
    </row>
    <row r="13" spans="2:17" s="159" customFormat="1" ht="16.899999999999999" customHeight="1">
      <c r="B13" s="922"/>
      <c r="C13" s="613" t="s">
        <v>795</v>
      </c>
      <c r="D13" s="613">
        <f>'Form 13'!E14</f>
        <v>68</v>
      </c>
      <c r="E13" s="613">
        <f>'Form 13'!F14</f>
        <v>120</v>
      </c>
      <c r="F13" s="613">
        <f>'Form 13'!G14</f>
        <v>365</v>
      </c>
      <c r="G13" s="664">
        <f>'Form 13'!H14</f>
        <v>365</v>
      </c>
      <c r="H13" s="666"/>
      <c r="I13" s="665"/>
      <c r="J13" s="669"/>
      <c r="K13" s="665"/>
      <c r="L13" s="668"/>
      <c r="N13" s="161"/>
      <c r="O13" s="161"/>
      <c r="P13" s="161"/>
      <c r="Q13" s="161"/>
    </row>
    <row r="14" spans="2:17" s="162" customFormat="1" ht="17.100000000000001" customHeight="1">
      <c r="B14" s="615">
        <v>1</v>
      </c>
      <c r="C14" s="923" t="s">
        <v>419</v>
      </c>
      <c r="D14" s="924">
        <f>'Form 13A'!B14-'Form 13A'!B21</f>
        <v>2600.8802727113898</v>
      </c>
      <c r="E14" s="924">
        <f>'Form 13A'!C14-'Form 13A'!C21</f>
        <v>4980.3739999999998</v>
      </c>
      <c r="F14" s="924">
        <f>'Form 13A'!D14-'Form 13A'!D21</f>
        <v>5047.308</v>
      </c>
      <c r="G14" s="925">
        <f>'Form 13A'!E14-'Form 13A'!E21</f>
        <v>5328.3580000000002</v>
      </c>
      <c r="H14" s="925">
        <f>'Form 13A'!F14-'Form 13A'!F21</f>
        <v>5922.7000000000007</v>
      </c>
      <c r="I14" s="925">
        <f>'Form 13A'!G14-'Form 13A'!G21</f>
        <v>5922.7000000000007</v>
      </c>
      <c r="J14" s="925">
        <f>'Form 13A'!H14-'Form 13A'!H21</f>
        <v>6084.2250000000004</v>
      </c>
      <c r="K14" s="925">
        <f>'Form 13A'!I14-'Form 13A'!I21</f>
        <v>6290.4659999999994</v>
      </c>
      <c r="L14" s="1119">
        <f>'Form 13A'!J14-'Form 13A'!J21</f>
        <v>6866.6919999999991</v>
      </c>
      <c r="M14" s="163"/>
      <c r="N14" s="163"/>
      <c r="O14" s="163"/>
      <c r="P14" s="163"/>
      <c r="Q14" s="163"/>
    </row>
    <row r="15" spans="2:17" s="162" customFormat="1" ht="33.200000000000003" customHeight="1">
      <c r="B15" s="615">
        <v>2</v>
      </c>
      <c r="C15" s="923" t="s">
        <v>420</v>
      </c>
      <c r="D15" s="924">
        <v>0</v>
      </c>
      <c r="E15" s="924">
        <f>'Form-11'!B23</f>
        <v>35.893613434759672</v>
      </c>
      <c r="F15" s="924">
        <f>'Form-11'!C23</f>
        <v>158.00037445460657</v>
      </c>
      <c r="G15" s="924">
        <f>'Form-11'!D23</f>
        <v>541.34916001005695</v>
      </c>
      <c r="H15" s="924">
        <f>'Form-11'!E23</f>
        <v>955.09125663223881</v>
      </c>
      <c r="I15" s="924">
        <f>'Form-11'!F23</f>
        <v>1392.4443563836987</v>
      </c>
      <c r="J15" s="924">
        <f>'Form-11'!G23</f>
        <v>1835.4683532603417</v>
      </c>
      <c r="K15" s="924">
        <f>'Form-11'!H23</f>
        <v>2292.3432562877033</v>
      </c>
      <c r="L15" s="1119">
        <f>'Form-11'!I23</f>
        <v>2778.5284052000734</v>
      </c>
      <c r="M15" s="163"/>
      <c r="N15" s="163"/>
      <c r="O15" s="163"/>
      <c r="P15" s="163"/>
      <c r="Q15" s="163"/>
    </row>
    <row r="16" spans="2:17" s="162" customFormat="1" ht="17.100000000000001" customHeight="1">
      <c r="B16" s="615">
        <v>3</v>
      </c>
      <c r="C16" s="926" t="s">
        <v>421</v>
      </c>
      <c r="D16" s="924">
        <f>D14-D15</f>
        <v>2600.8802727113898</v>
      </c>
      <c r="E16" s="924">
        <f>E14-E15</f>
        <v>4944.4803865652402</v>
      </c>
      <c r="F16" s="924">
        <f>F14-F15</f>
        <v>4889.3076255453934</v>
      </c>
      <c r="G16" s="925">
        <f>G14-G15</f>
        <v>4787.0088399899432</v>
      </c>
      <c r="H16" s="925">
        <f t="shared" ref="H16:L16" si="0">H14-H15</f>
        <v>4967.6087433677621</v>
      </c>
      <c r="I16" s="925">
        <f t="shared" si="0"/>
        <v>4530.2556436163022</v>
      </c>
      <c r="J16" s="925">
        <f t="shared" si="0"/>
        <v>4248.7566467396591</v>
      </c>
      <c r="K16" s="925">
        <f t="shared" si="0"/>
        <v>3998.1227437122961</v>
      </c>
      <c r="L16" s="1119">
        <f t="shared" si="0"/>
        <v>4088.1635947999257</v>
      </c>
      <c r="M16" s="163"/>
      <c r="N16" s="163"/>
      <c r="O16" s="163"/>
      <c r="P16" s="163"/>
      <c r="Q16" s="163"/>
    </row>
    <row r="17" spans="2:17" s="162" customFormat="1" ht="38.25" customHeight="1">
      <c r="B17" s="615">
        <v>4</v>
      </c>
      <c r="C17" s="923" t="s">
        <v>877</v>
      </c>
      <c r="D17" s="924">
        <f>'Form 13A'!B15+'Form 13A'!B16-'Form 13A'!B22</f>
        <v>0</v>
      </c>
      <c r="E17" s="924">
        <f>'Form 13A'!C15+'Form 13A'!C16-'Form 13A'!C22</f>
        <v>66.934000000000154</v>
      </c>
      <c r="F17" s="924">
        <f>'Form 13A'!D15+'Form 13A'!D16-'Form 13A'!D22</f>
        <v>281.05000000000007</v>
      </c>
      <c r="G17" s="925">
        <f>'Form 13A'!E15+'Form 13A'!E16-'Form 13A'!E22</f>
        <v>594.3420000000001</v>
      </c>
      <c r="H17" s="925">
        <f>'Form 13A'!F15+'Form 13A'!F16-'Form 13A'!F22</f>
        <v>0</v>
      </c>
      <c r="I17" s="925">
        <f>'Form 13A'!G15+'Form 13A'!G16-'Form 13A'!G22</f>
        <v>161.52500000000001</v>
      </c>
      <c r="J17" s="925">
        <f>'Form 13A'!H15+'Form 13A'!H16-'Form 13A'!H22</f>
        <v>206.24099999999999</v>
      </c>
      <c r="K17" s="925">
        <f>'Form 13A'!I15+'Form 13A'!I16-'Form 13A'!I22</f>
        <v>576.226</v>
      </c>
      <c r="L17" s="1119">
        <f>'Form 13A'!J15+'Form 13A'!J16-'Form 13A'!J22</f>
        <v>0</v>
      </c>
      <c r="M17" s="163"/>
      <c r="N17" s="163"/>
      <c r="O17" s="163"/>
      <c r="P17" s="163"/>
      <c r="Q17" s="163"/>
    </row>
    <row r="18" spans="2:17" s="162" customFormat="1" ht="38.25" customHeight="1">
      <c r="B18" s="615">
        <v>5</v>
      </c>
      <c r="C18" s="923" t="s">
        <v>422</v>
      </c>
      <c r="D18" s="924">
        <f>'Form-11'!B22</f>
        <v>35.893613434759672</v>
      </c>
      <c r="E18" s="924">
        <f>'Form-11'!C22</f>
        <v>122.10676101984689</v>
      </c>
      <c r="F18" s="924">
        <f>'Form-11'!D22</f>
        <v>383.34878555545032</v>
      </c>
      <c r="G18" s="925">
        <f>'Form-11'!E22</f>
        <v>413.74209662218192</v>
      </c>
      <c r="H18" s="925">
        <f>'Form-11'!F22</f>
        <v>437.35309975145992</v>
      </c>
      <c r="I18" s="925">
        <f>'Form-11'!G22</f>
        <v>443.02399687664285</v>
      </c>
      <c r="J18" s="925">
        <f>'Form-11'!H22</f>
        <v>456.87490302736154</v>
      </c>
      <c r="K18" s="925">
        <f>'Form-11'!I22</f>
        <v>486.18514891236998</v>
      </c>
      <c r="L18" s="1119">
        <f>'Form-11'!J22</f>
        <v>507.47793293283848</v>
      </c>
      <c r="M18" s="163"/>
      <c r="N18" s="163"/>
      <c r="O18" s="163"/>
      <c r="P18" s="163"/>
      <c r="Q18" s="163"/>
    </row>
    <row r="19" spans="2:17" s="162" customFormat="1" ht="18.75" customHeight="1">
      <c r="B19" s="615">
        <v>6</v>
      </c>
      <c r="C19" s="926" t="s">
        <v>423</v>
      </c>
      <c r="D19" s="924">
        <f>D16+D17-D18</f>
        <v>2564.9866592766302</v>
      </c>
      <c r="E19" s="924">
        <f>E16+E17-E18</f>
        <v>4889.3076255453934</v>
      </c>
      <c r="F19" s="924">
        <f>F16+F17-F18</f>
        <v>4787.0088399899432</v>
      </c>
      <c r="G19" s="925">
        <f>G16+G17-G18</f>
        <v>4967.6087433677621</v>
      </c>
      <c r="H19" s="925">
        <f t="shared" ref="H19:L19" si="1">H16+H17-H18</f>
        <v>4530.2556436163022</v>
      </c>
      <c r="I19" s="925">
        <f t="shared" si="1"/>
        <v>4248.7566467396591</v>
      </c>
      <c r="J19" s="925">
        <f t="shared" si="1"/>
        <v>3998.1227437122975</v>
      </c>
      <c r="K19" s="925">
        <f t="shared" si="1"/>
        <v>4088.1635947999257</v>
      </c>
      <c r="L19" s="1119">
        <f t="shared" si="1"/>
        <v>3580.6856618670872</v>
      </c>
      <c r="M19" s="163"/>
      <c r="N19" s="163"/>
      <c r="O19" s="163"/>
      <c r="P19" s="163"/>
      <c r="Q19" s="163"/>
    </row>
    <row r="20" spans="2:17" s="162" customFormat="1" ht="18.95" customHeight="1">
      <c r="B20" s="615">
        <v>7</v>
      </c>
      <c r="C20" s="926" t="s">
        <v>424</v>
      </c>
      <c r="D20" s="924">
        <f>(D16+D19)/2</f>
        <v>2582.93346599401</v>
      </c>
      <c r="E20" s="924">
        <f>(E16+E19)/2</f>
        <v>4916.8940060553168</v>
      </c>
      <c r="F20" s="924">
        <f>(F16+F19)/2</f>
        <v>4838.1582327676679</v>
      </c>
      <c r="G20" s="925">
        <f>(G16+G19)/2</f>
        <v>4877.3087916788527</v>
      </c>
      <c r="H20" s="925">
        <f t="shared" ref="H20:L20" si="2">(H16+H19)/2</f>
        <v>4748.9321934920317</v>
      </c>
      <c r="I20" s="925">
        <f t="shared" si="2"/>
        <v>4389.5061451779802</v>
      </c>
      <c r="J20" s="925">
        <f t="shared" si="2"/>
        <v>4123.4396952259785</v>
      </c>
      <c r="K20" s="925">
        <f t="shared" si="2"/>
        <v>4043.1431692561109</v>
      </c>
      <c r="L20" s="1119">
        <f t="shared" si="2"/>
        <v>3834.4246283335065</v>
      </c>
      <c r="M20" s="163"/>
      <c r="N20" s="163"/>
      <c r="O20" s="163"/>
      <c r="P20" s="163"/>
      <c r="Q20" s="163"/>
    </row>
    <row r="21" spans="2:17" s="162" customFormat="1" ht="19.350000000000001" customHeight="1">
      <c r="B21" s="615">
        <v>8</v>
      </c>
      <c r="C21" s="923" t="s">
        <v>425</v>
      </c>
      <c r="D21" s="927">
        <f>'loan restructuring'!D23</f>
        <v>0.1169154598236351</v>
      </c>
      <c r="E21" s="927">
        <f>'loan restructuring'!E23</f>
        <v>0.10501076690887512</v>
      </c>
      <c r="F21" s="927">
        <f>'loan restructuring'!F23</f>
        <v>0.10148189042748805</v>
      </c>
      <c r="G21" s="928">
        <f>'loan restructuring'!G23</f>
        <v>9.9900718392532437E-2</v>
      </c>
      <c r="H21" s="928">
        <v>0.10199999999999999</v>
      </c>
      <c r="I21" s="928">
        <f>H21</f>
        <v>0.10199999999999999</v>
      </c>
      <c r="J21" s="928">
        <f t="shared" ref="J21:L21" si="3">I21</f>
        <v>0.10199999999999999</v>
      </c>
      <c r="K21" s="928">
        <f t="shared" si="3"/>
        <v>0.10199999999999999</v>
      </c>
      <c r="L21" s="1120">
        <f t="shared" si="3"/>
        <v>0.10199999999999999</v>
      </c>
      <c r="M21" s="163"/>
      <c r="N21" s="163"/>
      <c r="O21" s="163"/>
      <c r="P21" s="163"/>
      <c r="Q21" s="163"/>
    </row>
    <row r="22" spans="2:17" s="162" customFormat="1" ht="17.45" customHeight="1">
      <c r="B22" s="615">
        <v>9</v>
      </c>
      <c r="C22" s="926" t="s">
        <v>426</v>
      </c>
      <c r="D22" s="929">
        <f>D20*D21/365*D13</f>
        <v>56.260191953964593</v>
      </c>
      <c r="E22" s="929">
        <f>E20*E21/365*E13</f>
        <v>169.75128012674631</v>
      </c>
      <c r="F22" s="929">
        <f>F20*F21/365*F13</f>
        <v>490.9854436485777</v>
      </c>
      <c r="G22" s="930">
        <f>G20*G21/365*G13</f>
        <v>487.24665211093173</v>
      </c>
      <c r="H22" s="930">
        <f>H20*H21</f>
        <v>484.39108373618723</v>
      </c>
      <c r="I22" s="930">
        <f t="shared" ref="I22:L22" si="4">I20*I21</f>
        <v>447.72962680815397</v>
      </c>
      <c r="J22" s="930">
        <f t="shared" si="4"/>
        <v>420.5908489130498</v>
      </c>
      <c r="K22" s="930">
        <f t="shared" si="4"/>
        <v>412.40060326412328</v>
      </c>
      <c r="L22" s="1121">
        <f t="shared" si="4"/>
        <v>391.11131209001763</v>
      </c>
      <c r="M22" s="163"/>
      <c r="N22" s="163"/>
      <c r="O22" s="163"/>
      <c r="P22" s="163"/>
      <c r="Q22" s="163"/>
    </row>
    <row r="23" spans="2:17">
      <c r="B23" s="164"/>
      <c r="L23" s="165"/>
    </row>
    <row r="24" spans="2:17">
      <c r="B24" s="164"/>
      <c r="L24" s="165"/>
    </row>
    <row r="25" spans="2:17" ht="16.5" thickBot="1">
      <c r="B25" s="157"/>
      <c r="C25" s="158"/>
      <c r="D25" s="158"/>
      <c r="E25" s="158"/>
      <c r="F25" s="158"/>
      <c r="G25" s="158"/>
      <c r="H25" s="158"/>
      <c r="I25" s="158"/>
      <c r="J25" s="158"/>
      <c r="K25" s="734" t="s">
        <v>331</v>
      </c>
      <c r="L25" s="735"/>
    </row>
    <row r="27" spans="2:17">
      <c r="H27" s="1123">
        <f>I14-$H$14</f>
        <v>0</v>
      </c>
      <c r="I27" s="1123">
        <f t="shared" ref="I27:K27" si="5">J14-$H$14</f>
        <v>161.52499999999964</v>
      </c>
      <c r="J27" s="1123">
        <f t="shared" si="5"/>
        <v>367.76599999999871</v>
      </c>
      <c r="K27" s="1123">
        <f t="shared" si="5"/>
        <v>943.99199999999837</v>
      </c>
      <c r="L27" s="1123">
        <f>K27</f>
        <v>943.99199999999837</v>
      </c>
      <c r="M27" s="1123">
        <f>SUM(H27:L27)</f>
        <v>2417.2749999999951</v>
      </c>
      <c r="N27" s="1125">
        <f>M27+G14</f>
        <v>7745.6329999999953</v>
      </c>
      <c r="O27" s="139">
        <f>N27/0.7</f>
        <v>11065.189999999993</v>
      </c>
    </row>
    <row r="28" spans="2:17">
      <c r="H28" s="1124">
        <f>H27/12</f>
        <v>0</v>
      </c>
      <c r="I28" s="1124">
        <f t="shared" ref="I28:L28" si="6">I27/12</f>
        <v>13.460416666666637</v>
      </c>
      <c r="J28" s="1124">
        <f t="shared" si="6"/>
        <v>30.647166666666561</v>
      </c>
      <c r="K28" s="1124">
        <f t="shared" si="6"/>
        <v>78.665999999999869</v>
      </c>
      <c r="L28" s="1124">
        <f t="shared" si="6"/>
        <v>78.665999999999869</v>
      </c>
      <c r="M28" s="1122"/>
      <c r="N28" s="1125"/>
    </row>
    <row r="29" spans="2:17">
      <c r="H29" s="135">
        <v>424</v>
      </c>
      <c r="I29" s="135">
        <v>424</v>
      </c>
      <c r="J29" s="135">
        <v>424</v>
      </c>
      <c r="K29" s="135">
        <v>424</v>
      </c>
      <c r="L29" s="135">
        <v>424</v>
      </c>
    </row>
    <row r="30" spans="2:17">
      <c r="H30" s="166">
        <f>H28+H29</f>
        <v>424</v>
      </c>
      <c r="I30" s="166">
        <f t="shared" ref="I30:L30" si="7">I28+I29</f>
        <v>437.46041666666662</v>
      </c>
      <c r="J30" s="166">
        <f t="shared" si="7"/>
        <v>454.64716666666658</v>
      </c>
      <c r="K30" s="166">
        <f t="shared" si="7"/>
        <v>502.66599999999988</v>
      </c>
      <c r="L30" s="166">
        <f t="shared" si="7"/>
        <v>502.66599999999988</v>
      </c>
    </row>
    <row r="31" spans="2:17">
      <c r="H31" s="135">
        <v>447.82594789563325</v>
      </c>
      <c r="I31" s="135">
        <v>457.1539143713951</v>
      </c>
      <c r="J31" s="135">
        <v>482.8000263042984</v>
      </c>
      <c r="K31" s="135">
        <v>504.52429512423191</v>
      </c>
      <c r="L31" s="135">
        <v>504.52429512423191</v>
      </c>
    </row>
  </sheetData>
  <mergeCells count="2">
    <mergeCell ref="B5:L5"/>
    <mergeCell ref="K10:L10"/>
  </mergeCells>
  <printOptions horizontalCentered="1"/>
  <pageMargins left="0.7" right="0.7" top="0.75" bottom="0.75" header="0.3" footer="0.3"/>
  <pageSetup paperSize="9" scale="77" orientation="landscape" r:id="rId1"/>
  <headerFooter alignWithMargins="0"/>
</worksheet>
</file>

<file path=xl/worksheets/sheet25.xml><?xml version="1.0" encoding="utf-8"?>
<worksheet xmlns="http://schemas.openxmlformats.org/spreadsheetml/2006/main" xmlns:r="http://schemas.openxmlformats.org/officeDocument/2006/relationships">
  <sheetPr>
    <tabColor rgb="FF00B050"/>
  </sheetPr>
  <dimension ref="A1:N37"/>
  <sheetViews>
    <sheetView topLeftCell="A10" workbookViewId="0">
      <selection activeCell="G15" sqref="G15"/>
    </sheetView>
  </sheetViews>
  <sheetFormatPr defaultRowHeight="12.75"/>
  <cols>
    <col min="1" max="1" width="5.83203125" customWidth="1"/>
    <col min="2" max="2" width="31.1640625" customWidth="1"/>
    <col min="3" max="4" width="23" hidden="1" customWidth="1"/>
    <col min="5" max="6" width="19.1640625" hidden="1" customWidth="1"/>
    <col min="7" max="11" width="19.1640625" customWidth="1"/>
  </cols>
  <sheetData>
    <row r="1" spans="1:14" ht="14.25">
      <c r="A1" s="300"/>
      <c r="B1" s="672"/>
      <c r="C1" s="672"/>
      <c r="D1" s="672"/>
      <c r="E1" s="672"/>
      <c r="F1" s="672"/>
      <c r="G1" s="672"/>
      <c r="H1" s="672"/>
      <c r="I1" s="672"/>
      <c r="J1" s="672"/>
      <c r="K1" s="1228" t="s">
        <v>869</v>
      </c>
    </row>
    <row r="2" spans="1:14" ht="14.25">
      <c r="A2" s="301"/>
      <c r="B2" s="168"/>
      <c r="C2" s="168"/>
      <c r="D2" s="168"/>
      <c r="E2" s="168"/>
      <c r="F2" s="168"/>
      <c r="G2" s="168"/>
      <c r="H2" s="168"/>
      <c r="I2" s="168"/>
      <c r="K2" s="1229" t="s">
        <v>878</v>
      </c>
    </row>
    <row r="3" spans="1:14" ht="17.25" customHeight="1">
      <c r="A3" s="301"/>
      <c r="B3" s="168"/>
      <c r="C3" s="168"/>
      <c r="D3" s="168"/>
      <c r="E3" s="168"/>
      <c r="F3" s="168"/>
      <c r="G3" s="168"/>
      <c r="H3" s="168"/>
      <c r="I3" s="168"/>
      <c r="K3" s="183"/>
    </row>
    <row r="4" spans="1:14" ht="17.25" customHeight="1">
      <c r="A4" s="301"/>
      <c r="B4" s="168"/>
      <c r="C4" s="168"/>
      <c r="D4" s="168"/>
      <c r="E4" s="168"/>
      <c r="F4" s="168"/>
      <c r="G4" s="168"/>
      <c r="H4" s="168"/>
      <c r="I4" s="168"/>
      <c r="J4" s="168"/>
      <c r="K4" s="183"/>
    </row>
    <row r="5" spans="1:14" ht="23.25" customHeight="1">
      <c r="A5" s="1735" t="s">
        <v>618</v>
      </c>
      <c r="B5" s="1736"/>
      <c r="C5" s="1736"/>
      <c r="D5" s="1736"/>
      <c r="E5" s="1736"/>
      <c r="F5" s="1736"/>
      <c r="G5" s="1736"/>
      <c r="H5" s="1736"/>
      <c r="I5" s="1736"/>
      <c r="J5" s="1736"/>
      <c r="K5" s="1737"/>
    </row>
    <row r="6" spans="1:14" ht="17.25" customHeight="1">
      <c r="A6" s="301"/>
      <c r="B6" s="168"/>
      <c r="C6" s="168"/>
      <c r="D6" s="168"/>
      <c r="E6" s="168"/>
      <c r="F6" s="168"/>
      <c r="G6" s="168"/>
      <c r="H6" s="168"/>
      <c r="I6" s="168"/>
      <c r="J6" s="168"/>
      <c r="K6" s="183"/>
    </row>
    <row r="7" spans="1:14" ht="17.25" customHeight="1">
      <c r="A7" s="674" t="s">
        <v>498</v>
      </c>
      <c r="B7" s="168"/>
      <c r="D7" s="168"/>
      <c r="E7" s="168"/>
      <c r="F7" s="168"/>
      <c r="G7" s="299" t="str">
        <f>'Form 3'!D5</f>
        <v>The Singareni Collieries Company Ltd</v>
      </c>
      <c r="H7" s="168"/>
      <c r="I7" s="168"/>
      <c r="J7" s="168"/>
      <c r="K7" s="183"/>
    </row>
    <row r="8" spans="1:14" ht="17.25" customHeight="1">
      <c r="A8" s="674" t="s">
        <v>499</v>
      </c>
      <c r="B8" s="168"/>
      <c r="D8" s="168"/>
      <c r="E8" s="168"/>
      <c r="F8" s="168"/>
      <c r="G8" s="299" t="str">
        <f>'Form 3'!D6</f>
        <v>Singareni Thermal Power Project</v>
      </c>
      <c r="H8" s="168"/>
      <c r="I8" s="168"/>
      <c r="J8" s="168"/>
      <c r="K8" s="183"/>
    </row>
    <row r="9" spans="1:14" ht="17.25" customHeight="1">
      <c r="A9" s="301"/>
      <c r="B9" s="168"/>
      <c r="C9" s="168"/>
      <c r="D9" s="168"/>
      <c r="E9" s="168"/>
      <c r="F9" s="168"/>
      <c r="G9" s="168"/>
      <c r="H9" s="168"/>
      <c r="I9" s="168"/>
      <c r="J9" s="168"/>
      <c r="K9" s="183"/>
    </row>
    <row r="10" spans="1:14" ht="17.25" customHeight="1">
      <c r="A10" s="301"/>
      <c r="B10" s="168"/>
      <c r="C10" s="168"/>
      <c r="D10" s="168"/>
      <c r="E10" s="168"/>
      <c r="F10" s="168"/>
      <c r="G10" s="168"/>
      <c r="H10" s="168"/>
      <c r="I10" s="168"/>
      <c r="K10" s="764" t="s">
        <v>995</v>
      </c>
    </row>
    <row r="11" spans="1:14" ht="50.25" customHeight="1">
      <c r="A11" s="931" t="s">
        <v>1025</v>
      </c>
      <c r="B11" s="932" t="s">
        <v>418</v>
      </c>
      <c r="C11" s="186" t="s">
        <v>443</v>
      </c>
      <c r="D11" s="186" t="s">
        <v>444</v>
      </c>
      <c r="E11" s="671" t="s">
        <v>445</v>
      </c>
      <c r="F11" s="671" t="s">
        <v>446</v>
      </c>
      <c r="G11" s="160" t="s">
        <v>1016</v>
      </c>
      <c r="H11" s="160" t="s">
        <v>1017</v>
      </c>
      <c r="I11" s="160" t="s">
        <v>1018</v>
      </c>
      <c r="J11" s="663" t="s">
        <v>1019</v>
      </c>
      <c r="K11" s="670" t="s">
        <v>1020</v>
      </c>
    </row>
    <row r="12" spans="1:14" ht="17.25" customHeight="1">
      <c r="A12" s="676">
        <v>1</v>
      </c>
      <c r="B12" s="677">
        <v>2</v>
      </c>
      <c r="C12" s="678">
        <v>3</v>
      </c>
      <c r="D12" s="678">
        <v>4</v>
      </c>
      <c r="E12" s="678">
        <v>5</v>
      </c>
      <c r="F12" s="679">
        <v>6</v>
      </c>
      <c r="G12" s="678">
        <v>7</v>
      </c>
      <c r="H12" s="679">
        <v>8</v>
      </c>
      <c r="I12" s="677">
        <v>9</v>
      </c>
      <c r="J12" s="751">
        <v>10</v>
      </c>
      <c r="K12" s="765">
        <v>11</v>
      </c>
    </row>
    <row r="13" spans="1:14" ht="14.45" hidden="1" customHeight="1">
      <c r="A13" s="681"/>
      <c r="B13" s="556" t="s">
        <v>617</v>
      </c>
      <c r="C13" s="682">
        <v>68</v>
      </c>
      <c r="D13" s="682">
        <v>120</v>
      </c>
      <c r="E13" s="682">
        <v>365</v>
      </c>
      <c r="F13" s="683">
        <v>365</v>
      </c>
      <c r="G13" s="178"/>
      <c r="H13" s="178"/>
      <c r="I13" s="178"/>
      <c r="J13" s="178"/>
      <c r="K13" s="680"/>
      <c r="N13" t="s">
        <v>617</v>
      </c>
    </row>
    <row r="14" spans="1:14" ht="14.45" customHeight="1">
      <c r="A14" s="1230"/>
      <c r="B14" s="557" t="s">
        <v>617</v>
      </c>
      <c r="C14" s="684"/>
      <c r="D14" s="684"/>
      <c r="E14" s="684"/>
      <c r="F14" s="684"/>
      <c r="G14" s="684">
        <v>366</v>
      </c>
      <c r="H14" s="684">
        <v>365</v>
      </c>
      <c r="I14" s="684">
        <v>365</v>
      </c>
      <c r="J14" s="684">
        <v>365</v>
      </c>
      <c r="K14" s="1060">
        <v>366</v>
      </c>
    </row>
    <row r="15" spans="1:14" ht="17.25" customHeight="1">
      <c r="A15" s="1231">
        <v>1</v>
      </c>
      <c r="B15" s="1225" t="s">
        <v>1259</v>
      </c>
      <c r="C15" s="558">
        <f>D15/2</f>
        <v>194.26110439902629</v>
      </c>
      <c r="D15" s="558">
        <f>E15</f>
        <v>388.52220879805259</v>
      </c>
      <c r="E15" s="558">
        <f>'Energy Charges'!$D$23/(1-'Energy Charges'!$D$13)/100*E37/6*10/100</f>
        <v>388.52220879805259</v>
      </c>
      <c r="F15" s="558">
        <f>'Energy Charges'!$D$23/(1-'Energy Charges'!$D$13)/100*F37/6*10/100</f>
        <v>388.52220879805259</v>
      </c>
      <c r="G15" s="1227">
        <f>1200*24/1000*G14*80%/6*'Form 1'!H28/10</f>
        <v>389.02579200000002</v>
      </c>
      <c r="H15" s="1227">
        <f>1200*24/1000*H14*80%/6*'Form 1'!I28/10</f>
        <v>430.71168000000006</v>
      </c>
      <c r="I15" s="1227">
        <f>1200*24/1000*I14*80%/6*'Form 1'!J28/10</f>
        <v>479.76768000000004</v>
      </c>
      <c r="J15" s="1227">
        <f>1200*24/1000*J14*80%/6*'Form 1'!K28/10</f>
        <v>539.33568000000002</v>
      </c>
      <c r="K15" s="1329">
        <f>1200*24/1000*K14*80%/6*'Form 1'!L28/10</f>
        <v>600.2634240000001</v>
      </c>
      <c r="N15" s="39"/>
    </row>
    <row r="16" spans="1:14" ht="33.6" customHeight="1">
      <c r="A16" s="1232">
        <v>2</v>
      </c>
      <c r="B16" s="1225" t="s">
        <v>1260</v>
      </c>
      <c r="C16" s="1234">
        <f>D16/2</f>
        <v>8.0957581727329408</v>
      </c>
      <c r="D16" s="1234">
        <f>E16</f>
        <v>16.191516345465882</v>
      </c>
      <c r="E16" s="1234">
        <f>'Energy Charges'!$D$19/(1-'Energy Charges'!$D$13)/100*E37/6*10/100</f>
        <v>16.191516345465882</v>
      </c>
      <c r="F16" s="1234">
        <f>'Energy Charges'!$D$19/(1-'Energy Charges'!$D$13)/100*F37/6*10/100</f>
        <v>16.191516345465882</v>
      </c>
      <c r="G16" s="1227">
        <f>1200*24/1000*G14*80%/6*'Form 1'!H29/10</f>
        <v>16.303104000000019</v>
      </c>
      <c r="H16" s="1227">
        <f>1200*24/1000*H14*80%/6*'Form 1'!I29/10</f>
        <v>18.501120000000018</v>
      </c>
      <c r="I16" s="1227">
        <f>1200*24/1000*I14*80%/6*'Form 1'!J29/10</f>
        <v>21.444480000000006</v>
      </c>
      <c r="J16" s="1227">
        <f>1200*24/1000*J14*80%/6*'Form 1'!K29/10</f>
        <v>24.948479999999993</v>
      </c>
      <c r="K16" s="1329">
        <f>1200*24/1000*K14*80%/6*'Form 1'!L29/10</f>
        <v>28.811520000000012</v>
      </c>
    </row>
    <row r="17" spans="1:11" ht="17.25" customHeight="1">
      <c r="A17" s="1233">
        <v>3</v>
      </c>
      <c r="B17" s="1225" t="s">
        <v>1022</v>
      </c>
      <c r="C17" s="558" t="e">
        <f>'Form 16-O&amp;M'!#REF!/12</f>
        <v>#REF!</v>
      </c>
      <c r="D17" s="558" t="e">
        <f>'Form 16-O&amp;M'!#REF!/12</f>
        <v>#REF!</v>
      </c>
      <c r="E17" s="558" t="e">
        <f>'Form 16-O&amp;M'!#REF!/12</f>
        <v>#REF!</v>
      </c>
      <c r="F17" s="558" t="e">
        <f>'Form 16-O&amp;M'!#REF!/12</f>
        <v>#REF!</v>
      </c>
      <c r="G17" s="1227">
        <f>G18*12*0.2</f>
        <v>45.801212682056445</v>
      </c>
      <c r="H17" s="1227">
        <f t="shared" ref="H17:K17" si="0">H18*12*0.2</f>
        <v>48.502119199757971</v>
      </c>
      <c r="I17" s="1227">
        <f t="shared" si="0"/>
        <v>51.274852367303019</v>
      </c>
      <c r="J17" s="1227">
        <f t="shared" si="0"/>
        <v>55.568609732101351</v>
      </c>
      <c r="K17" s="1329">
        <f t="shared" si="0"/>
        <v>58.279706728602847</v>
      </c>
    </row>
    <row r="18" spans="1:11" ht="17.25" customHeight="1">
      <c r="A18" s="1233">
        <v>4</v>
      </c>
      <c r="B18" s="1225" t="s">
        <v>1021</v>
      </c>
      <c r="C18" s="1234" t="e">
        <f>C17*12*0.2</f>
        <v>#REF!</v>
      </c>
      <c r="D18" s="1234" t="e">
        <f>D17*12*0.2</f>
        <v>#REF!</v>
      </c>
      <c r="E18" s="1234" t="e">
        <f>E17*12*0.2</f>
        <v>#REF!</v>
      </c>
      <c r="F18" s="1234" t="e">
        <f>F17*12*0.2</f>
        <v>#REF!</v>
      </c>
      <c r="G18" s="1227">
        <f>'Form 1'!H22/12</f>
        <v>19.083838617523515</v>
      </c>
      <c r="H18" s="1227">
        <f>'Form 1'!I22/12</f>
        <v>20.209216333232487</v>
      </c>
      <c r="I18" s="1227">
        <f>'Form 1'!J22/12</f>
        <v>21.364521819709591</v>
      </c>
      <c r="J18" s="1227">
        <f>'Form 1'!K22/12</f>
        <v>23.153587388375559</v>
      </c>
      <c r="K18" s="1329">
        <f>'Form 1'!L22/12</f>
        <v>24.283211136917853</v>
      </c>
    </row>
    <row r="19" spans="1:11" ht="17.25" customHeight="1">
      <c r="A19" s="1233">
        <v>5</v>
      </c>
      <c r="B19" s="1225" t="s">
        <v>1023</v>
      </c>
      <c r="C19" s="558" t="e">
        <f>C15+C16+'Form 1'!D24/'Form 1'!D14*(365/6)</f>
        <v>#REF!</v>
      </c>
      <c r="D19" s="558" t="e">
        <f>D15+D16+'Form 1'!E24/'Form 1'!E14*(365/6)</f>
        <v>#REF!</v>
      </c>
      <c r="E19" s="558" t="e">
        <f>E15+E16+'Form 1'!F24/6</f>
        <v>#REF!</v>
      </c>
      <c r="F19" s="558" t="e">
        <f>F15+F16+'Form 1'!G24/6</f>
        <v>#REF!</v>
      </c>
      <c r="G19" s="1077">
        <f ca="1">G15+G16+'Form 1'!H24/6</f>
        <v>696.85986539127327</v>
      </c>
      <c r="H19" s="1077">
        <f ca="1">H15+H16+'Form 1'!I24/6</f>
        <v>740.12552784660375</v>
      </c>
      <c r="I19" s="1077">
        <f ca="1">I15+I16+'Form 1'!J24/6</f>
        <v>796.25744160046725</v>
      </c>
      <c r="J19" s="1077">
        <f ca="1">J15+J16+'Form 1'!K24/6</f>
        <v>876.05525645872251</v>
      </c>
      <c r="K19" s="1078">
        <f ca="1">K15+K16+'Form 1'!L24/6</f>
        <v>946.82468461327846</v>
      </c>
    </row>
    <row r="20" spans="1:11" ht="25.9" customHeight="1">
      <c r="A20" s="1233">
        <v>6</v>
      </c>
      <c r="B20" s="1225" t="s">
        <v>1387</v>
      </c>
      <c r="C20" s="558"/>
      <c r="D20" s="558"/>
      <c r="E20" s="558"/>
      <c r="F20" s="558"/>
      <c r="G20" s="1227">
        <f ca="1">SUM(G15:G19)</f>
        <v>1167.0738126908532</v>
      </c>
      <c r="H20" s="1227">
        <f t="shared" ref="H20:K20" ca="1" si="1">SUM(H15:H19)</f>
        <v>1258.0496633795942</v>
      </c>
      <c r="I20" s="1227">
        <f t="shared" ca="1" si="1"/>
        <v>1370.1089757874797</v>
      </c>
      <c r="J20" s="1227">
        <f t="shared" ca="1" si="1"/>
        <v>1519.0616135791993</v>
      </c>
      <c r="K20" s="1329">
        <f t="shared" ca="1" si="1"/>
        <v>1658.4625464787991</v>
      </c>
    </row>
    <row r="21" spans="1:11" ht="17.25" customHeight="1">
      <c r="A21" s="1233"/>
      <c r="B21" s="1225" t="s">
        <v>1159</v>
      </c>
      <c r="C21" s="558"/>
      <c r="D21" s="558"/>
      <c r="E21" s="558"/>
      <c r="F21" s="558"/>
      <c r="G21" s="178"/>
      <c r="H21" s="178"/>
      <c r="I21" s="178"/>
      <c r="J21" s="178"/>
      <c r="K21" s="680"/>
    </row>
    <row r="22" spans="1:11" ht="17.25" customHeight="1">
      <c r="A22" s="1233">
        <v>7</v>
      </c>
      <c r="B22" s="1225" t="s">
        <v>1161</v>
      </c>
      <c r="C22" s="558"/>
      <c r="D22" s="558"/>
      <c r="E22" s="558"/>
      <c r="F22" s="558"/>
      <c r="G22" s="1227">
        <f>G15/2</f>
        <v>194.51289600000001</v>
      </c>
      <c r="H22" s="1227">
        <f t="shared" ref="H22:K22" si="2">H15/2</f>
        <v>215.35584000000003</v>
      </c>
      <c r="I22" s="1227">
        <f t="shared" si="2"/>
        <v>239.88384000000002</v>
      </c>
      <c r="J22" s="1227">
        <f t="shared" si="2"/>
        <v>269.66784000000001</v>
      </c>
      <c r="K22" s="1329">
        <f t="shared" si="2"/>
        <v>300.13171200000005</v>
      </c>
    </row>
    <row r="23" spans="1:11" ht="17.25" customHeight="1">
      <c r="A23" s="1233">
        <v>8</v>
      </c>
      <c r="B23" s="1225" t="s">
        <v>1160</v>
      </c>
      <c r="C23" s="558"/>
      <c r="D23" s="558"/>
      <c r="E23" s="558"/>
      <c r="F23" s="558"/>
      <c r="G23" s="1226">
        <f>G16/2</f>
        <v>8.1515520000000095</v>
      </c>
      <c r="H23" s="1226">
        <f t="shared" ref="H23:K23" si="3">H16/2</f>
        <v>9.250560000000009</v>
      </c>
      <c r="I23" s="1226">
        <f t="shared" si="3"/>
        <v>10.722240000000003</v>
      </c>
      <c r="J23" s="1226">
        <f t="shared" si="3"/>
        <v>12.474239999999996</v>
      </c>
      <c r="K23" s="1330">
        <f t="shared" si="3"/>
        <v>14.405760000000006</v>
      </c>
    </row>
    <row r="24" spans="1:11" ht="17.25" customHeight="1">
      <c r="A24" s="1233">
        <v>9</v>
      </c>
      <c r="B24" s="1225" t="s">
        <v>1386</v>
      </c>
      <c r="C24" s="558" t="e">
        <f>SUM(C15:C19)</f>
        <v>#REF!</v>
      </c>
      <c r="D24" s="558" t="e">
        <f>SUM(D15:D19)</f>
        <v>#REF!</v>
      </c>
      <c r="E24" s="558" t="e">
        <f>SUM(E15:E19)</f>
        <v>#REF!</v>
      </c>
      <c r="F24" s="558" t="e">
        <f>SUM(F15:F19)</f>
        <v>#REF!</v>
      </c>
      <c r="G24" s="1227">
        <f ca="1">G20-G22-G23</f>
        <v>964.40936469085318</v>
      </c>
      <c r="H24" s="1227">
        <f t="shared" ref="H24:K24" ca="1" si="4">H20-H22-H23</f>
        <v>1033.4432633795943</v>
      </c>
      <c r="I24" s="1227">
        <f t="shared" ca="1" si="4"/>
        <v>1119.5028957874797</v>
      </c>
      <c r="J24" s="1227">
        <f t="shared" ca="1" si="4"/>
        <v>1236.9195335791992</v>
      </c>
      <c r="K24" s="1329">
        <f t="shared" ca="1" si="4"/>
        <v>1343.9250744787989</v>
      </c>
    </row>
    <row r="25" spans="1:11" ht="17.25" customHeight="1">
      <c r="A25" s="1233">
        <v>10</v>
      </c>
      <c r="B25" s="1225" t="s">
        <v>1024</v>
      </c>
      <c r="C25" s="1235">
        <v>0.128</v>
      </c>
      <c r="D25" s="1235">
        <v>0.128</v>
      </c>
      <c r="E25" s="1235">
        <v>0.128</v>
      </c>
      <c r="F25" s="1235">
        <v>0.128</v>
      </c>
      <c r="G25" s="1227">
        <f>'Form 3'!D29</f>
        <v>10.050000000000001</v>
      </c>
      <c r="H25" s="1227">
        <f>'Form 3'!E29</f>
        <v>10.050000000000001</v>
      </c>
      <c r="I25" s="1227">
        <f>'Form 3'!F29</f>
        <v>10.050000000000001</v>
      </c>
      <c r="J25" s="1227">
        <f>'Form 3'!G29</f>
        <v>10.050000000000001</v>
      </c>
      <c r="K25" s="1329">
        <f>'Form 3'!H29</f>
        <v>10.050000000000001</v>
      </c>
    </row>
    <row r="26" spans="1:11" ht="27.75" customHeight="1">
      <c r="A26" s="1233">
        <v>11</v>
      </c>
      <c r="B26" s="1225" t="s">
        <v>456</v>
      </c>
      <c r="C26" s="558" t="e">
        <f>C24*C25/365*C13</f>
        <v>#REF!</v>
      </c>
      <c r="D26" s="558" t="e">
        <f>D24*D25/365*D13</f>
        <v>#REF!</v>
      </c>
      <c r="E26" s="558" t="e">
        <f>E24*E25/365*E13</f>
        <v>#REF!</v>
      </c>
      <c r="F26" s="558" t="e">
        <f>F24*F25/365*F13</f>
        <v>#REF!</v>
      </c>
      <c r="G26" s="1227">
        <f ca="1">G24*G25%</f>
        <v>96.923141151430755</v>
      </c>
      <c r="H26" s="1227">
        <f t="shared" ref="H26:K26" ca="1" si="5">H24*H25%</f>
        <v>103.86104796964923</v>
      </c>
      <c r="I26" s="1227">
        <f t="shared" ca="1" si="5"/>
        <v>112.51004102664172</v>
      </c>
      <c r="J26" s="1227">
        <f t="shared" ca="1" si="5"/>
        <v>124.31041312470953</v>
      </c>
      <c r="K26" s="1329">
        <f t="shared" ca="1" si="5"/>
        <v>135.0644699851193</v>
      </c>
    </row>
    <row r="27" spans="1:11" ht="25.5" customHeight="1">
      <c r="A27" s="301"/>
      <c r="B27" s="168"/>
      <c r="C27" s="168"/>
      <c r="D27" s="168"/>
      <c r="E27" s="168"/>
      <c r="F27" s="168"/>
      <c r="G27" s="168"/>
      <c r="H27" s="168"/>
      <c r="I27" s="168"/>
      <c r="J27" s="168"/>
      <c r="K27" s="183"/>
    </row>
    <row r="28" spans="1:11" ht="17.25" customHeight="1">
      <c r="A28" s="301"/>
      <c r="B28" s="675" t="s">
        <v>1261</v>
      </c>
      <c r="C28" s="168"/>
      <c r="D28" s="168"/>
      <c r="E28" s="168"/>
      <c r="F28" s="168"/>
      <c r="G28" s="168"/>
      <c r="H28" s="168"/>
      <c r="I28" s="168"/>
      <c r="J28" s="168"/>
      <c r="K28" s="183"/>
    </row>
    <row r="29" spans="1:11" ht="17.25" customHeight="1">
      <c r="A29" s="301"/>
      <c r="B29" s="1734"/>
      <c r="C29" s="1734"/>
      <c r="D29" s="1734"/>
      <c r="E29" s="1734"/>
      <c r="F29" s="1734"/>
      <c r="G29" s="1734"/>
      <c r="H29" s="1734"/>
      <c r="I29" s="168"/>
      <c r="J29" s="168"/>
      <c r="K29" s="183"/>
    </row>
    <row r="30" spans="1:11" ht="13.7" customHeight="1">
      <c r="A30" s="685"/>
      <c r="B30" s="1734"/>
      <c r="C30" s="1734"/>
      <c r="D30" s="1734"/>
      <c r="E30" s="1734"/>
      <c r="F30" s="1734"/>
      <c r="G30" s="1734"/>
      <c r="H30" s="1734"/>
      <c r="I30" s="168"/>
      <c r="J30" s="168"/>
      <c r="K30" s="183"/>
    </row>
    <row r="31" spans="1:11">
      <c r="A31" s="301"/>
      <c r="B31" s="168"/>
      <c r="C31" s="168"/>
      <c r="D31" s="168"/>
      <c r="E31" s="168"/>
      <c r="F31" s="168"/>
      <c r="G31" s="168"/>
      <c r="H31" s="168"/>
      <c r="I31" s="168"/>
      <c r="J31" s="168"/>
      <c r="K31" s="183"/>
    </row>
    <row r="32" spans="1:11">
      <c r="A32" s="301"/>
      <c r="B32" s="168"/>
      <c r="C32" s="168"/>
      <c r="D32" s="168"/>
      <c r="E32" s="168"/>
      <c r="F32" s="168"/>
      <c r="G32" s="168"/>
      <c r="H32" s="168"/>
      <c r="I32" s="168"/>
      <c r="J32" s="168"/>
      <c r="K32" s="183"/>
    </row>
    <row r="33" spans="1:11" ht="14.25">
      <c r="A33" s="301"/>
      <c r="B33" s="168"/>
      <c r="C33" s="168"/>
      <c r="D33" s="168"/>
      <c r="E33" s="168"/>
      <c r="G33" s="168"/>
      <c r="H33" s="168"/>
      <c r="I33" s="168"/>
      <c r="J33" s="673" t="s">
        <v>822</v>
      </c>
      <c r="K33" s="183"/>
    </row>
    <row r="34" spans="1:11">
      <c r="A34" s="301"/>
      <c r="B34" s="168"/>
      <c r="C34" s="168"/>
      <c r="D34" s="168"/>
      <c r="E34" s="168"/>
      <c r="F34" s="168"/>
      <c r="G34" s="168"/>
      <c r="H34" s="168"/>
      <c r="I34" s="168"/>
      <c r="J34" s="168"/>
      <c r="K34" s="183"/>
    </row>
    <row r="35" spans="1:11" ht="13.5" thickBot="1">
      <c r="A35" s="302"/>
      <c r="B35" s="686"/>
      <c r="C35" s="686"/>
      <c r="D35" s="686"/>
      <c r="E35" s="686"/>
      <c r="F35" s="686"/>
      <c r="G35" s="686"/>
      <c r="H35" s="686"/>
      <c r="I35" s="686"/>
      <c r="J35" s="686"/>
      <c r="K35" s="687"/>
    </row>
    <row r="37" spans="1:11">
      <c r="C37" s="500">
        <f>(8421/2)*Form13B!D13/365</f>
        <v>784.42191780821918</v>
      </c>
      <c r="D37" s="500">
        <f>(8421)*Form13B!E13/365</f>
        <v>2768.5479452054797</v>
      </c>
      <c r="E37" s="500">
        <f>8421</f>
        <v>8421</v>
      </c>
      <c r="F37" s="500">
        <f>8421</f>
        <v>8421</v>
      </c>
    </row>
  </sheetData>
  <mergeCells count="2">
    <mergeCell ref="B29:H30"/>
    <mergeCell ref="A5:K5"/>
  </mergeCells>
  <pageMargins left="0.70866141732283472" right="0.70866141732283472" top="0.74803149606299213" bottom="0.74803149606299213" header="0.31496062992125984" footer="0.31496062992125984"/>
  <pageSetup scale="61" orientation="landscape" r:id="rId1"/>
  <colBreaks count="1" manualBreakCount="1">
    <brk id="11" max="1048575" man="1"/>
  </colBreaks>
</worksheet>
</file>

<file path=xl/worksheets/sheet26.xml><?xml version="1.0" encoding="utf-8"?>
<worksheet xmlns="http://schemas.openxmlformats.org/spreadsheetml/2006/main" xmlns:r="http://schemas.openxmlformats.org/officeDocument/2006/relationships">
  <sheetPr>
    <tabColor rgb="FF00B050"/>
  </sheetPr>
  <dimension ref="A1:K100"/>
  <sheetViews>
    <sheetView topLeftCell="A16" zoomScale="85" zoomScaleNormal="85" workbookViewId="0">
      <selection activeCell="E29" sqref="E29"/>
    </sheetView>
  </sheetViews>
  <sheetFormatPr defaultColWidth="8.83203125" defaultRowHeight="15"/>
  <cols>
    <col min="1" max="1" width="11.1640625" style="529" customWidth="1"/>
    <col min="2" max="2" width="17.33203125" style="529" customWidth="1"/>
    <col min="3" max="3" width="40.33203125" style="529" customWidth="1"/>
    <col min="4" max="6" width="20.83203125" style="529" customWidth="1"/>
    <col min="7" max="8" width="16.33203125" style="529" customWidth="1"/>
    <col min="9" max="9" width="17.5" style="529" customWidth="1"/>
    <col min="10" max="10" width="17.1640625" style="529" customWidth="1"/>
    <col min="11" max="11" width="16" style="529" customWidth="1"/>
    <col min="12" max="16384" width="8.83203125" style="529"/>
  </cols>
  <sheetData>
    <row r="1" spans="1:11" ht="18.75">
      <c r="A1" s="598"/>
      <c r="B1" s="599"/>
      <c r="C1" s="599"/>
      <c r="D1" s="599"/>
      <c r="E1" s="599"/>
      <c r="F1" s="692"/>
      <c r="G1" s="692"/>
      <c r="H1" s="692"/>
      <c r="I1" s="692"/>
      <c r="J1" s="688" t="s">
        <v>869</v>
      </c>
      <c r="K1" s="693"/>
    </row>
    <row r="2" spans="1:11">
      <c r="A2" s="600"/>
      <c r="B2" s="601"/>
      <c r="C2" s="601"/>
      <c r="D2" s="601"/>
      <c r="E2" s="601"/>
      <c r="J2" s="689" t="s">
        <v>948</v>
      </c>
      <c r="K2" s="694"/>
    </row>
    <row r="3" spans="1:11" ht="18.75">
      <c r="A3" s="600"/>
      <c r="B3" s="601"/>
      <c r="C3" s="601"/>
      <c r="D3" s="601"/>
      <c r="E3" s="601"/>
      <c r="F3" s="690"/>
      <c r="K3" s="694"/>
    </row>
    <row r="4" spans="1:11" ht="20.25">
      <c r="A4" s="1741" t="s">
        <v>885</v>
      </c>
      <c r="B4" s="1742"/>
      <c r="C4" s="1742"/>
      <c r="D4" s="1742"/>
      <c r="E4" s="1742"/>
      <c r="F4" s="1742"/>
      <c r="G4" s="1742"/>
      <c r="H4" s="1742"/>
      <c r="I4" s="1742"/>
      <c r="J4" s="1742"/>
      <c r="K4" s="1743"/>
    </row>
    <row r="5" spans="1:11" ht="18.75">
      <c r="A5" s="602"/>
      <c r="B5" s="603"/>
      <c r="C5" s="603"/>
      <c r="D5" s="603"/>
      <c r="E5" s="603"/>
      <c r="F5" s="601"/>
      <c r="K5" s="694"/>
    </row>
    <row r="6" spans="1:11" ht="18.75">
      <c r="A6" s="600"/>
      <c r="B6" s="604" t="str">
        <f>'Form 14'!A7</f>
        <v>Name of the Company:</v>
      </c>
      <c r="C6" s="605"/>
      <c r="D6" s="604" t="str">
        <f>'Form 14'!G7</f>
        <v>The Singareni Collieries Company Ltd</v>
      </c>
      <c r="E6" s="603"/>
      <c r="F6" s="601"/>
      <c r="K6" s="694"/>
    </row>
    <row r="7" spans="1:11" ht="18.75">
      <c r="A7" s="600"/>
      <c r="B7" s="604" t="str">
        <f>'Form 14'!A8</f>
        <v>Name of the Power Station:</v>
      </c>
      <c r="C7" s="606"/>
      <c r="D7" s="604" t="str">
        <f>'Form 14'!G8</f>
        <v>Singareni Thermal Power Project</v>
      </c>
      <c r="E7" s="603"/>
      <c r="F7" s="601"/>
      <c r="K7" s="694"/>
    </row>
    <row r="8" spans="1:11">
      <c r="A8" s="607"/>
      <c r="B8" s="601"/>
      <c r="C8" s="608"/>
      <c r="D8" s="608"/>
      <c r="E8" s="601"/>
      <c r="F8" s="601"/>
      <c r="K8" s="694"/>
    </row>
    <row r="9" spans="1:11">
      <c r="A9" s="607"/>
      <c r="B9" s="601"/>
      <c r="C9" s="608"/>
      <c r="D9" s="608"/>
      <c r="E9" s="601"/>
      <c r="F9" s="601"/>
      <c r="K9" s="694"/>
    </row>
    <row r="10" spans="1:11">
      <c r="A10" s="607"/>
      <c r="B10" s="601"/>
      <c r="C10" s="608"/>
      <c r="D10" s="608"/>
      <c r="E10" s="601"/>
      <c r="F10" s="601"/>
      <c r="K10" s="694"/>
    </row>
    <row r="11" spans="1:11" ht="15.75">
      <c r="A11" s="607"/>
      <c r="B11" s="1040" t="s">
        <v>1149</v>
      </c>
      <c r="C11" s="608"/>
      <c r="D11" s="608"/>
      <c r="E11" s="601"/>
      <c r="F11" s="601"/>
      <c r="K11" s="694"/>
    </row>
    <row r="12" spans="1:11" ht="18.75">
      <c r="A12" s="607"/>
      <c r="B12" s="601"/>
      <c r="C12" s="608"/>
      <c r="D12" s="608"/>
      <c r="E12" s="601"/>
      <c r="F12" s="1023" t="s">
        <v>1124</v>
      </c>
      <c r="K12" s="694"/>
    </row>
    <row r="13" spans="1:11">
      <c r="A13" s="607"/>
      <c r="B13" s="608"/>
      <c r="C13" s="608"/>
      <c r="D13" s="601"/>
      <c r="E13" s="601"/>
      <c r="F13" s="601"/>
      <c r="K13" s="694"/>
    </row>
    <row r="14" spans="1:11" ht="18.75">
      <c r="B14" s="1027" t="s">
        <v>1010</v>
      </c>
      <c r="C14" s="1025" t="s">
        <v>768</v>
      </c>
      <c r="D14" s="1028" t="s">
        <v>1112</v>
      </c>
      <c r="E14" s="1028" t="s">
        <v>445</v>
      </c>
      <c r="F14" s="1028" t="s">
        <v>446</v>
      </c>
      <c r="K14" s="694"/>
    </row>
    <row r="15" spans="1:11" ht="18.75">
      <c r="B15" s="1027">
        <v>1</v>
      </c>
      <c r="C15" s="1029" t="s">
        <v>1132</v>
      </c>
      <c r="D15" s="612">
        <v>78.95</v>
      </c>
      <c r="E15" s="612">
        <v>190.08</v>
      </c>
      <c r="F15" s="612">
        <v>215.84</v>
      </c>
      <c r="K15" s="694"/>
    </row>
    <row r="16" spans="1:11" ht="18.75">
      <c r="B16" s="1024">
        <v>2</v>
      </c>
      <c r="C16" s="611" t="s">
        <v>1131</v>
      </c>
      <c r="D16" s="612">
        <f>18.19+64.19</f>
        <v>82.38</v>
      </c>
      <c r="E16" s="612">
        <v>207.6</v>
      </c>
      <c r="F16" s="612">
        <v>220.56</v>
      </c>
      <c r="K16" s="694"/>
    </row>
    <row r="17" spans="1:11" ht="18.75">
      <c r="B17" s="1024">
        <v>3</v>
      </c>
      <c r="C17" s="611" t="s">
        <v>1133</v>
      </c>
      <c r="D17" s="612">
        <f>D16-D15</f>
        <v>3.4299999999999926</v>
      </c>
      <c r="E17" s="612">
        <f>E16-E15</f>
        <v>17.519999999999982</v>
      </c>
      <c r="F17" s="612">
        <f>F16-F15</f>
        <v>4.7199999999999989</v>
      </c>
      <c r="K17" s="694"/>
    </row>
    <row r="18" spans="1:11" ht="18.75">
      <c r="B18" s="1024">
        <v>4</v>
      </c>
      <c r="C18" s="611" t="s">
        <v>1134</v>
      </c>
      <c r="D18" s="612">
        <f>D17*2*365/(68+2*119)</f>
        <v>8.182679738562074</v>
      </c>
      <c r="E18" s="612">
        <f>E17</f>
        <v>17.519999999999982</v>
      </c>
      <c r="F18" s="612">
        <f>F17</f>
        <v>4.7199999999999989</v>
      </c>
      <c r="K18" s="694"/>
    </row>
    <row r="19" spans="1:11" ht="18.75">
      <c r="F19" s="1023"/>
      <c r="K19" s="694"/>
    </row>
    <row r="20" spans="1:11" ht="18.75">
      <c r="A20" s="1021"/>
      <c r="B20" s="1022"/>
      <c r="C20" s="1023"/>
      <c r="K20" s="694"/>
    </row>
    <row r="21" spans="1:11" ht="18.75">
      <c r="A21" s="1021"/>
      <c r="B21" s="1738" t="s">
        <v>1150</v>
      </c>
      <c r="C21" s="1738"/>
      <c r="D21" s="1738"/>
      <c r="E21" s="1738"/>
      <c r="F21" s="1738"/>
      <c r="G21" s="1039"/>
      <c r="K21" s="694"/>
    </row>
    <row r="22" spans="1:11" ht="18.75">
      <c r="A22" s="1021"/>
      <c r="B22" s="1739" t="s">
        <v>1128</v>
      </c>
      <c r="C22" s="1739"/>
      <c r="D22" s="1739"/>
      <c r="E22" s="1739"/>
      <c r="F22" s="1739"/>
      <c r="G22" s="1039"/>
      <c r="K22" s="694"/>
    </row>
    <row r="23" spans="1:11" ht="18.75">
      <c r="A23" s="1021"/>
      <c r="B23" s="1041"/>
      <c r="C23" s="1022"/>
      <c r="D23" s="1023"/>
      <c r="E23" s="1023"/>
      <c r="F23" s="1023" t="s">
        <v>1124</v>
      </c>
      <c r="G23" s="1023"/>
      <c r="K23" s="694"/>
    </row>
    <row r="24" spans="1:11" ht="18.75">
      <c r="A24" s="1021"/>
      <c r="B24" s="1027" t="s">
        <v>1010</v>
      </c>
      <c r="C24" s="1025" t="s">
        <v>768</v>
      </c>
      <c r="D24" s="1028" t="s">
        <v>1112</v>
      </c>
      <c r="E24" s="1028" t="s">
        <v>445</v>
      </c>
      <c r="F24" s="1028" t="s">
        <v>446</v>
      </c>
      <c r="G24" s="1023"/>
      <c r="K24" s="694"/>
    </row>
    <row r="25" spans="1:11" ht="18.75">
      <c r="B25" s="1027">
        <v>1</v>
      </c>
      <c r="C25" s="1029" t="s">
        <v>1129</v>
      </c>
      <c r="D25" s="612">
        <f>13.61+0.5*39.92</f>
        <v>33.57</v>
      </c>
      <c r="E25" s="612">
        <f>34+0.5*108.43</f>
        <v>88.215000000000003</v>
      </c>
      <c r="F25" s="612">
        <f>29.66+0.5*96.58</f>
        <v>77.95</v>
      </c>
      <c r="G25" s="1023"/>
      <c r="K25" s="694"/>
    </row>
    <row r="26" spans="1:11" ht="18.75">
      <c r="B26" s="1027">
        <v>2</v>
      </c>
      <c r="C26" s="1029" t="s">
        <v>1130</v>
      </c>
      <c r="D26" s="1028">
        <f>D25*2*365/(68+2*119)</f>
        <v>80.085294117647052</v>
      </c>
      <c r="E26" s="1028">
        <f>E25</f>
        <v>88.215000000000003</v>
      </c>
      <c r="F26" s="1028">
        <f>F25</f>
        <v>77.95</v>
      </c>
      <c r="G26" s="1023"/>
      <c r="K26" s="694"/>
    </row>
    <row r="27" spans="1:11" ht="18.75">
      <c r="B27" s="1027">
        <v>3</v>
      </c>
      <c r="C27" s="1029" t="s">
        <v>1135</v>
      </c>
      <c r="D27" s="1028">
        <f>D18/3</f>
        <v>2.7275599128540247</v>
      </c>
      <c r="E27" s="1028">
        <f>E18/3</f>
        <v>5.8399999999999936</v>
      </c>
      <c r="F27" s="1028">
        <f>F18/3</f>
        <v>1.573333333333333</v>
      </c>
      <c r="G27" s="1023"/>
      <c r="K27" s="694"/>
    </row>
    <row r="28" spans="1:11" ht="18.75">
      <c r="B28" s="1027">
        <v>3</v>
      </c>
      <c r="C28" s="1029" t="s">
        <v>1136</v>
      </c>
      <c r="D28" s="612">
        <f>D26+D27</f>
        <v>82.812854030501072</v>
      </c>
      <c r="E28" s="612">
        <f>E26+E27</f>
        <v>94.054999999999993</v>
      </c>
      <c r="F28" s="612">
        <f>F26+F27</f>
        <v>79.523333333333341</v>
      </c>
      <c r="G28" s="1023"/>
      <c r="K28" s="694"/>
    </row>
    <row r="29" spans="1:11" ht="37.5">
      <c r="B29" s="1027">
        <v>5</v>
      </c>
      <c r="C29" s="1029" t="s">
        <v>1140</v>
      </c>
      <c r="D29" s="612">
        <v>1274</v>
      </c>
      <c r="E29" s="612">
        <v>1316</v>
      </c>
      <c r="F29" s="1031" t="s">
        <v>593</v>
      </c>
      <c r="G29" s="1023"/>
      <c r="K29" s="694"/>
    </row>
    <row r="30" spans="1:11" ht="18.75">
      <c r="B30" s="1027">
        <v>6</v>
      </c>
      <c r="C30" s="1029" t="s">
        <v>1138</v>
      </c>
      <c r="D30" s="612">
        <f>((D29/100)^(1/34)-1)*100</f>
        <v>7.7717619557752471</v>
      </c>
      <c r="E30" s="612">
        <f>((E29/100)^(1/35)-1)*100</f>
        <v>7.6412518002794583</v>
      </c>
      <c r="F30" s="1031" t="s">
        <v>593</v>
      </c>
      <c r="G30" s="1023"/>
      <c r="K30" s="694"/>
    </row>
    <row r="31" spans="1:11" ht="18.75">
      <c r="B31" s="1027">
        <v>7</v>
      </c>
      <c r="C31" s="1029" t="s">
        <v>1139</v>
      </c>
      <c r="D31" s="612">
        <f>AVERAGE(D30:E30)</f>
        <v>7.7065068780273531</v>
      </c>
      <c r="E31" s="612"/>
      <c r="F31" s="612"/>
      <c r="G31" s="1023"/>
      <c r="K31" s="694"/>
    </row>
    <row r="32" spans="1:11">
      <c r="K32" s="694"/>
    </row>
    <row r="33" spans="1:11">
      <c r="K33" s="694"/>
    </row>
    <row r="34" spans="1:11">
      <c r="K34" s="694"/>
    </row>
    <row r="35" spans="1:11">
      <c r="K35" s="694"/>
    </row>
    <row r="36" spans="1:11" ht="56.25">
      <c r="A36" s="1021"/>
      <c r="B36" s="1024" t="s">
        <v>1010</v>
      </c>
      <c r="C36" s="1026" t="s">
        <v>768</v>
      </c>
      <c r="D36" s="1032" t="s">
        <v>1116</v>
      </c>
      <c r="E36" s="1032" t="s">
        <v>1115</v>
      </c>
      <c r="F36" s="1032" t="s">
        <v>1117</v>
      </c>
      <c r="G36" s="1032" t="s">
        <v>1118</v>
      </c>
      <c r="H36" s="1032" t="s">
        <v>1119</v>
      </c>
      <c r="K36" s="694"/>
    </row>
    <row r="37" spans="1:11" ht="95.25">
      <c r="A37" s="1021"/>
      <c r="B37" s="1024">
        <v>1</v>
      </c>
      <c r="C37" s="1038" t="s">
        <v>1137</v>
      </c>
      <c r="D37" s="612">
        <f>AVERAGE(D28:F28)</f>
        <v>85.463729121278149</v>
      </c>
      <c r="E37" s="612">
        <f>D37</f>
        <v>85.463729121278149</v>
      </c>
      <c r="F37" s="612">
        <f>E37</f>
        <v>85.463729121278149</v>
      </c>
      <c r="G37" s="612">
        <f>F37</f>
        <v>85.463729121278149</v>
      </c>
      <c r="H37" s="612">
        <f>G37</f>
        <v>85.463729121278149</v>
      </c>
      <c r="K37" s="694"/>
    </row>
    <row r="38" spans="1:11" ht="75">
      <c r="B38" s="1024">
        <v>2</v>
      </c>
      <c r="C38" s="1038" t="s">
        <v>1392</v>
      </c>
      <c r="D38" s="612">
        <f>(1+$D$31%)^1</f>
        <v>1.0770650687802736</v>
      </c>
      <c r="E38" s="612">
        <f>(1+$D$31%)^2</f>
        <v>1.1600691623866555</v>
      </c>
      <c r="F38" s="612">
        <f>(1+$D$31%)^3</f>
        <v>1.2494699721758575</v>
      </c>
      <c r="G38" s="612">
        <f>(1+$D$31%)^4</f>
        <v>1.3457604615204763</v>
      </c>
      <c r="H38" s="612">
        <f>(1+$D$31%)^5</f>
        <v>1.4494715840493246</v>
      </c>
      <c r="K38" s="694"/>
    </row>
    <row r="39" spans="1:11" ht="20.25">
      <c r="B39" s="1024">
        <v>3</v>
      </c>
      <c r="C39" s="1038" t="s">
        <v>1141</v>
      </c>
      <c r="D39" s="612">
        <f>D37*5%</f>
        <v>4.2731864560639075</v>
      </c>
      <c r="E39" s="612">
        <f>E37*5%</f>
        <v>4.2731864560639075</v>
      </c>
      <c r="F39" s="612">
        <f>F37*5%</f>
        <v>4.2731864560639075</v>
      </c>
      <c r="G39" s="612">
        <f>G37*5%</f>
        <v>4.2731864560639075</v>
      </c>
      <c r="H39" s="612">
        <f>H37*5%</f>
        <v>4.2731864560639075</v>
      </c>
      <c r="K39" s="694"/>
    </row>
    <row r="40" spans="1:11" ht="37.5">
      <c r="B40" s="1024">
        <v>4</v>
      </c>
      <c r="C40" s="1038" t="s">
        <v>1143</v>
      </c>
      <c r="D40" s="612">
        <f>D37*D38+D39</f>
        <v>96.323183740292038</v>
      </c>
      <c r="E40" s="612">
        <f>E37*E38+E39</f>
        <v>103.41702311222507</v>
      </c>
      <c r="F40" s="612">
        <f>F37*F38+F39</f>
        <v>111.05754970327234</v>
      </c>
      <c r="G40" s="612">
        <f>G37*G38+G39</f>
        <v>119.28689400157617</v>
      </c>
      <c r="H40" s="612">
        <f>H37*H38+H39</f>
        <v>128.15043328424534</v>
      </c>
      <c r="K40" s="694"/>
    </row>
    <row r="41" spans="1:11">
      <c r="K41" s="694"/>
    </row>
    <row r="42" spans="1:11" ht="18.75">
      <c r="A42" s="1021"/>
      <c r="B42" s="1022"/>
      <c r="C42" s="1023"/>
      <c r="D42" s="1023"/>
      <c r="E42" s="1023"/>
      <c r="F42" s="1023"/>
      <c r="K42" s="694"/>
    </row>
    <row r="43" spans="1:11" ht="18.75">
      <c r="A43" s="1021"/>
      <c r="B43" s="1744" t="s">
        <v>1148</v>
      </c>
      <c r="C43" s="1744"/>
      <c r="D43" s="1744"/>
      <c r="E43" s="1744"/>
      <c r="F43" s="1023"/>
      <c r="K43" s="694"/>
    </row>
    <row r="44" spans="1:11" ht="18.75">
      <c r="A44" s="1021"/>
      <c r="B44" s="1022"/>
      <c r="C44" s="1023"/>
      <c r="D44" s="1023"/>
      <c r="E44" s="1023"/>
      <c r="F44" s="1023"/>
      <c r="K44" s="694"/>
    </row>
    <row r="45" spans="1:11" ht="37.5">
      <c r="A45" s="1021"/>
      <c r="B45" s="1041"/>
      <c r="C45" s="1039" t="s">
        <v>1127</v>
      </c>
      <c r="D45" s="1039"/>
      <c r="E45" s="1039"/>
      <c r="F45" s="1023"/>
      <c r="G45" s="1023"/>
      <c r="K45" s="694"/>
    </row>
    <row r="46" spans="1:11" ht="18.75">
      <c r="A46" s="1021"/>
      <c r="B46" s="1041"/>
      <c r="C46" s="1022"/>
      <c r="D46" s="1023"/>
      <c r="E46" s="1023"/>
      <c r="F46" s="1023" t="s">
        <v>1124</v>
      </c>
      <c r="G46" s="1023"/>
      <c r="K46" s="694"/>
    </row>
    <row r="47" spans="1:11" ht="18.75">
      <c r="A47" s="1021"/>
      <c r="B47" s="1027" t="s">
        <v>1010</v>
      </c>
      <c r="C47" s="1025" t="s">
        <v>768</v>
      </c>
      <c r="D47" s="1028" t="s">
        <v>1112</v>
      </c>
      <c r="E47" s="1028" t="s">
        <v>445</v>
      </c>
      <c r="F47" s="1028" t="s">
        <v>446</v>
      </c>
      <c r="G47" s="1023"/>
      <c r="K47" s="694"/>
    </row>
    <row r="48" spans="1:11" ht="37.5">
      <c r="A48" s="1021"/>
      <c r="B48" s="1027">
        <v>1</v>
      </c>
      <c r="C48" s="1029" t="s">
        <v>1110</v>
      </c>
      <c r="D48" s="612">
        <f>4.78 +0.5*39.92</f>
        <v>24.740000000000002</v>
      </c>
      <c r="E48" s="612">
        <f>17.49+0.5*108.43</f>
        <v>71.704999999999998</v>
      </c>
      <c r="F48" s="612">
        <f>60.71+0.5*96.58</f>
        <v>109</v>
      </c>
      <c r="G48" s="1023"/>
      <c r="K48" s="694"/>
    </row>
    <row r="49" spans="1:11" ht="18.75">
      <c r="A49" s="1021"/>
      <c r="B49" s="1027">
        <v>2</v>
      </c>
      <c r="C49" s="1029" t="s">
        <v>1113</v>
      </c>
      <c r="D49" s="1028">
        <f>D48*2*365/(68+2*119)</f>
        <v>59.020261437908502</v>
      </c>
      <c r="E49" s="1028">
        <f>E48</f>
        <v>71.704999999999998</v>
      </c>
      <c r="F49" s="1028">
        <f>F48</f>
        <v>109</v>
      </c>
      <c r="G49" s="1023"/>
      <c r="K49" s="694"/>
    </row>
    <row r="50" spans="1:11" ht="37.5">
      <c r="A50" s="1021"/>
      <c r="B50" s="1027">
        <v>3</v>
      </c>
      <c r="C50" s="1029" t="s">
        <v>1111</v>
      </c>
      <c r="D50" s="612">
        <f>7114.82</f>
        <v>7114.82</v>
      </c>
      <c r="E50" s="612">
        <v>7210.44</v>
      </c>
      <c r="F50" s="612">
        <v>7611.94</v>
      </c>
      <c r="G50" s="1023"/>
      <c r="K50" s="694"/>
    </row>
    <row r="51" spans="1:11" ht="37.5">
      <c r="A51" s="1021"/>
      <c r="B51" s="1027">
        <v>4</v>
      </c>
      <c r="C51" s="1029" t="s">
        <v>1120</v>
      </c>
      <c r="D51" s="1030">
        <f>D49/D50*100</f>
        <v>0.82953976963448839</v>
      </c>
      <c r="E51" s="1030">
        <f>E49/E50*100</f>
        <v>0.99446080960385219</v>
      </c>
      <c r="F51" s="1030">
        <f>F49/F50*100</f>
        <v>1.4319608404690527</v>
      </c>
      <c r="G51" s="1023"/>
      <c r="K51" s="694"/>
    </row>
    <row r="52" spans="1:11" ht="37.5">
      <c r="A52" s="1021"/>
      <c r="B52" s="1027">
        <v>5</v>
      </c>
      <c r="C52" s="1029" t="s">
        <v>1121</v>
      </c>
      <c r="D52" s="612">
        <v>111.6</v>
      </c>
      <c r="E52" s="612">
        <v>114.9</v>
      </c>
      <c r="F52" s="1031" t="s">
        <v>593</v>
      </c>
      <c r="G52" s="1023"/>
      <c r="K52" s="694"/>
    </row>
    <row r="53" spans="1:11" ht="18.75">
      <c r="A53" s="1021"/>
      <c r="B53" s="1027">
        <v>6</v>
      </c>
      <c r="C53" s="1029" t="s">
        <v>1122</v>
      </c>
      <c r="D53" s="612">
        <f>((D52/100)^(1/5)-1)*100</f>
        <v>2.2192850185549728</v>
      </c>
      <c r="E53" s="612">
        <f>((E52/100)^(1/6)-1)*100</f>
        <v>2.34186762880082</v>
      </c>
      <c r="F53" s="1031" t="s">
        <v>593</v>
      </c>
      <c r="G53" s="1023"/>
      <c r="K53" s="694"/>
    </row>
    <row r="54" spans="1:11" ht="18.75">
      <c r="A54" s="1021"/>
      <c r="B54" s="1027">
        <v>7</v>
      </c>
      <c r="C54" s="1029" t="s">
        <v>1123</v>
      </c>
      <c r="D54" s="612">
        <f>AVERAGE(D53:E53)</f>
        <v>2.2805763236778964</v>
      </c>
      <c r="E54" s="612"/>
      <c r="F54" s="612"/>
      <c r="G54" s="1023"/>
      <c r="K54" s="694"/>
    </row>
    <row r="55" spans="1:11" ht="18.75">
      <c r="A55" s="1041"/>
      <c r="B55" s="1041"/>
      <c r="C55" s="1022"/>
      <c r="D55" s="1023"/>
      <c r="E55" s="1023"/>
      <c r="F55" s="1023"/>
      <c r="G55" s="1023"/>
      <c r="K55" s="694"/>
    </row>
    <row r="56" spans="1:11" ht="18.75">
      <c r="A56" s="1041"/>
      <c r="B56" s="1041"/>
      <c r="C56" s="1022"/>
      <c r="D56" s="1023"/>
      <c r="E56" s="1023"/>
      <c r="F56" s="1023"/>
      <c r="G56" s="1023"/>
      <c r="K56" s="694"/>
    </row>
    <row r="57" spans="1:11" ht="56.25">
      <c r="A57" s="1021"/>
      <c r="B57" s="1024" t="s">
        <v>1010</v>
      </c>
      <c r="C57" s="1026" t="s">
        <v>768</v>
      </c>
      <c r="D57" s="1032" t="s">
        <v>1116</v>
      </c>
      <c r="E57" s="1032" t="s">
        <v>1115</v>
      </c>
      <c r="F57" s="1032" t="s">
        <v>1117</v>
      </c>
      <c r="G57" s="1032" t="s">
        <v>1118</v>
      </c>
      <c r="H57" s="1032" t="s">
        <v>1119</v>
      </c>
      <c r="K57" s="694"/>
    </row>
    <row r="58" spans="1:11" ht="37.5">
      <c r="A58" s="1021"/>
      <c r="B58" s="1024">
        <v>1</v>
      </c>
      <c r="C58" s="1038" t="s">
        <v>1111</v>
      </c>
      <c r="D58" s="612">
        <v>8584.34</v>
      </c>
      <c r="E58" s="612">
        <f>D58+126.53+92.02</f>
        <v>8802.8900000000012</v>
      </c>
      <c r="F58" s="612">
        <f>E58+19+68.56+93</f>
        <v>8983.4500000000007</v>
      </c>
      <c r="G58" s="612">
        <f>F58+645+19+53.82+39.14</f>
        <v>9740.41</v>
      </c>
      <c r="H58" s="612">
        <f>G58</f>
        <v>9740.41</v>
      </c>
      <c r="K58" s="694"/>
    </row>
    <row r="59" spans="1:11" ht="37.5">
      <c r="A59" s="1021"/>
      <c r="B59" s="1024">
        <v>2</v>
      </c>
      <c r="C59" s="1038" t="s">
        <v>1114</v>
      </c>
      <c r="D59" s="612">
        <f>AVERAGE(D51:F51)</f>
        <v>1.0853204732357977</v>
      </c>
      <c r="E59" s="612">
        <f>D59</f>
        <v>1.0853204732357977</v>
      </c>
      <c r="F59" s="612">
        <f>E59</f>
        <v>1.0853204732357977</v>
      </c>
      <c r="G59" s="612">
        <f>F59</f>
        <v>1.0853204732357977</v>
      </c>
      <c r="H59" s="612">
        <f>G59</f>
        <v>1.0853204732357977</v>
      </c>
      <c r="K59" s="694"/>
    </row>
    <row r="60" spans="1:11" ht="75">
      <c r="A60" s="1021"/>
      <c r="B60" s="1024">
        <v>3</v>
      </c>
      <c r="C60" s="1038" t="s">
        <v>1125</v>
      </c>
      <c r="D60" s="612">
        <f>(1+$D$54%)^1</f>
        <v>1.0228057632367791</v>
      </c>
      <c r="E60" s="612">
        <f>(1+$D$54%)^2</f>
        <v>1.0461316293103702</v>
      </c>
      <c r="F60" s="612">
        <f>(1+$D$54%)^3</f>
        <v>1.0699894595629285</v>
      </c>
      <c r="G60" s="612">
        <f>(1+$D$54%)^4</f>
        <v>1.0943913858435699</v>
      </c>
      <c r="H60" s="612">
        <f>(1+$D$54%)^5</f>
        <v>1.1193498166774889</v>
      </c>
      <c r="K60" s="694"/>
    </row>
    <row r="61" spans="1:11" ht="18" customHeight="1">
      <c r="B61" s="1024">
        <v>4</v>
      </c>
      <c r="C61" s="1038" t="s">
        <v>1126</v>
      </c>
      <c r="D61" s="612">
        <f>D58*D59*D60%</f>
        <v>95.292357727983472</v>
      </c>
      <c r="E61" s="612">
        <f>E58*E59*E60%</f>
        <v>99.946963314493118</v>
      </c>
      <c r="F61" s="612">
        <f>F58*F59*F60%</f>
        <v>104.3231399121898</v>
      </c>
      <c r="G61" s="612">
        <f>G58*G59*G60%</f>
        <v>115.69321753728602</v>
      </c>
      <c r="H61" s="612">
        <f>H58*H59*H60%</f>
        <v>118.33168966454254</v>
      </c>
      <c r="K61" s="694"/>
    </row>
    <row r="62" spans="1:11">
      <c r="K62" s="694"/>
    </row>
    <row r="63" spans="1:11">
      <c r="K63" s="694"/>
    </row>
    <row r="64" spans="1:11" ht="18.75">
      <c r="B64" s="1738" t="s">
        <v>1144</v>
      </c>
      <c r="C64" s="1738"/>
      <c r="D64" s="1738"/>
      <c r="E64" s="1738"/>
      <c r="F64" s="1738"/>
      <c r="G64" s="1039"/>
      <c r="K64" s="694"/>
    </row>
    <row r="65" spans="1:11" ht="18" customHeight="1">
      <c r="B65" s="1739" t="s">
        <v>1145</v>
      </c>
      <c r="C65" s="1739"/>
      <c r="D65" s="1739"/>
      <c r="E65" s="1739"/>
      <c r="F65" s="1739"/>
      <c r="G65" s="1039"/>
      <c r="K65" s="694"/>
    </row>
    <row r="66" spans="1:11" ht="18.75">
      <c r="B66" s="1041"/>
      <c r="C66" s="1022"/>
      <c r="D66" s="1023"/>
      <c r="E66" s="1023"/>
      <c r="F66" s="1023" t="s">
        <v>1124</v>
      </c>
      <c r="G66" s="1023"/>
      <c r="K66" s="694"/>
    </row>
    <row r="67" spans="1:11" ht="18.75">
      <c r="B67" s="1027" t="s">
        <v>1010</v>
      </c>
      <c r="C67" s="1025" t="s">
        <v>768</v>
      </c>
      <c r="D67" s="1028" t="s">
        <v>1112</v>
      </c>
      <c r="E67" s="1028" t="s">
        <v>445</v>
      </c>
      <c r="F67" s="1028" t="s">
        <v>446</v>
      </c>
      <c r="G67" s="1023"/>
      <c r="K67" s="694"/>
    </row>
    <row r="68" spans="1:11" ht="18.75">
      <c r="B68" s="1027">
        <v>1</v>
      </c>
      <c r="C68" s="1029" t="s">
        <v>1146</v>
      </c>
      <c r="D68" s="612">
        <v>20.64</v>
      </c>
      <c r="E68" s="1042">
        <v>30.16</v>
      </c>
      <c r="F68" s="612">
        <v>28.89</v>
      </c>
      <c r="G68" s="1023"/>
      <c r="K68" s="694"/>
    </row>
    <row r="69" spans="1:11" ht="18.75">
      <c r="B69" s="1027">
        <v>2</v>
      </c>
      <c r="C69" s="1029" t="s">
        <v>1152</v>
      </c>
      <c r="D69" s="1028">
        <f>D68*2*365/(68+2*119)</f>
        <v>49.239215686274513</v>
      </c>
      <c r="E69" s="1043">
        <f>E68</f>
        <v>30.16</v>
      </c>
      <c r="F69" s="1028">
        <f>F68</f>
        <v>28.89</v>
      </c>
      <c r="G69" s="1023"/>
      <c r="K69" s="694"/>
    </row>
    <row r="70" spans="1:11" ht="37.5">
      <c r="B70" s="1027">
        <v>3</v>
      </c>
      <c r="C70" s="1029" t="s">
        <v>1121</v>
      </c>
      <c r="D70" s="1028">
        <v>111.6</v>
      </c>
      <c r="E70" s="1043">
        <v>114.9</v>
      </c>
      <c r="F70" s="1028" t="s">
        <v>593</v>
      </c>
      <c r="G70" s="1023"/>
      <c r="K70" s="694"/>
    </row>
    <row r="71" spans="1:11" ht="18.75">
      <c r="B71" s="1027">
        <v>4</v>
      </c>
      <c r="C71" s="1029" t="s">
        <v>1122</v>
      </c>
      <c r="D71" s="1028">
        <f>((D70/100)^(1/5)-1)*100</f>
        <v>2.2192850185549728</v>
      </c>
      <c r="E71" s="1043">
        <f>((E70/100)^(1/6)-1)*100</f>
        <v>2.34186762880082</v>
      </c>
      <c r="F71" s="1028" t="s">
        <v>593</v>
      </c>
      <c r="G71" s="1023"/>
      <c r="K71" s="694"/>
    </row>
    <row r="72" spans="1:11" ht="18.75">
      <c r="B72" s="1027">
        <v>5</v>
      </c>
      <c r="C72" s="1029" t="s">
        <v>1123</v>
      </c>
      <c r="D72" s="1028">
        <f>AVERAGE(D71:E71)</f>
        <v>2.2805763236778964</v>
      </c>
      <c r="E72" s="1043"/>
      <c r="F72" s="1028"/>
      <c r="G72" s="1023"/>
      <c r="K72" s="694"/>
    </row>
    <row r="73" spans="1:11" ht="37.5">
      <c r="B73" s="1027">
        <v>6</v>
      </c>
      <c r="C73" s="1029" t="s">
        <v>1140</v>
      </c>
      <c r="D73" s="612">
        <v>1274</v>
      </c>
      <c r="E73" s="1042">
        <v>1316</v>
      </c>
      <c r="F73" s="1031" t="s">
        <v>593</v>
      </c>
      <c r="G73" s="1023"/>
      <c r="K73" s="694"/>
    </row>
    <row r="74" spans="1:11" ht="18.75">
      <c r="B74" s="1027">
        <v>7</v>
      </c>
      <c r="C74" s="1029" t="s">
        <v>1138</v>
      </c>
      <c r="D74" s="612">
        <f>((D73/100)^(1/34)-1)*100</f>
        <v>7.7717619557752471</v>
      </c>
      <c r="E74" s="1042">
        <f>((E73/100)^(1/35)-1)*100</f>
        <v>7.6412518002794583</v>
      </c>
      <c r="F74" s="1031" t="s">
        <v>593</v>
      </c>
      <c r="G74" s="1023"/>
      <c r="K74" s="694"/>
    </row>
    <row r="75" spans="1:11" ht="18.75">
      <c r="B75" s="1024">
        <v>8</v>
      </c>
      <c r="C75" s="1038" t="s">
        <v>1139</v>
      </c>
      <c r="D75" s="612">
        <f>AVERAGE(D74:E74)</f>
        <v>7.7065068780273531</v>
      </c>
      <c r="E75" s="1042"/>
      <c r="F75" s="612"/>
      <c r="G75" s="1023"/>
      <c r="K75" s="694"/>
    </row>
    <row r="76" spans="1:11" ht="18.75">
      <c r="B76" s="1044">
        <v>9</v>
      </c>
      <c r="C76" s="1038" t="s">
        <v>1147</v>
      </c>
      <c r="D76" s="612">
        <f>D72*0.5+D75*0.5</f>
        <v>4.993541600852625</v>
      </c>
      <c r="K76" s="694"/>
    </row>
    <row r="77" spans="1:11">
      <c r="K77" s="694"/>
    </row>
    <row r="78" spans="1:11">
      <c r="K78" s="694"/>
    </row>
    <row r="79" spans="1:11">
      <c r="A79" s="1021"/>
      <c r="K79" s="694"/>
    </row>
    <row r="80" spans="1:11" ht="56.25">
      <c r="A80" s="1021"/>
      <c r="B80" s="1024" t="s">
        <v>1010</v>
      </c>
      <c r="C80" s="1026" t="s">
        <v>768</v>
      </c>
      <c r="D80" s="1032" t="s">
        <v>1116</v>
      </c>
      <c r="E80" s="1032" t="s">
        <v>1115</v>
      </c>
      <c r="F80" s="1032" t="s">
        <v>1117</v>
      </c>
      <c r="G80" s="1032" t="s">
        <v>1118</v>
      </c>
      <c r="H80" s="1032" t="s">
        <v>1119</v>
      </c>
      <c r="K80" s="694"/>
    </row>
    <row r="81" spans="1:11" ht="56.25">
      <c r="A81" s="1021"/>
      <c r="B81" s="1024">
        <v>1</v>
      </c>
      <c r="C81" s="1038" t="s">
        <v>1151</v>
      </c>
      <c r="D81" s="612">
        <f>AVERAGE(D69:F69)</f>
        <v>36.096405228758172</v>
      </c>
      <c r="E81" s="612">
        <f>D81</f>
        <v>36.096405228758172</v>
      </c>
      <c r="F81" s="612">
        <f>E81</f>
        <v>36.096405228758172</v>
      </c>
      <c r="G81" s="612">
        <f>F81</f>
        <v>36.096405228758172</v>
      </c>
      <c r="H81" s="612">
        <f>G81</f>
        <v>36.096405228758172</v>
      </c>
      <c r="K81" s="694"/>
    </row>
    <row r="82" spans="1:11" ht="75">
      <c r="A82" s="1021"/>
      <c r="B82" s="1024">
        <v>2</v>
      </c>
      <c r="C82" s="1038" t="s">
        <v>1153</v>
      </c>
      <c r="D82" s="612">
        <f>(1+$D$76%)^1</f>
        <v>1.0499354160085264</v>
      </c>
      <c r="E82" s="612">
        <f>(1+$D$76%)^2</f>
        <v>1.1023643777889973</v>
      </c>
      <c r="F82" s="612">
        <f>(1+$D$76%)^3</f>
        <v>1.1574114015868713</v>
      </c>
      <c r="G82" s="612">
        <f>(1+$D$76%)^4</f>
        <v>1.2152072214181231</v>
      </c>
      <c r="H82" s="612">
        <f>(1+$D$76%)^5</f>
        <v>1.2758890995562024</v>
      </c>
      <c r="K82" s="694"/>
    </row>
    <row r="83" spans="1:11" ht="18.75">
      <c r="A83" s="1021"/>
      <c r="B83" s="1024">
        <v>3</v>
      </c>
      <c r="C83" s="1038" t="s">
        <v>1158</v>
      </c>
      <c r="D83" s="612">
        <f>D81*5%</f>
        <v>1.8048202614379087</v>
      </c>
      <c r="E83" s="612">
        <f>E81*5%</f>
        <v>1.8048202614379087</v>
      </c>
      <c r="F83" s="612">
        <f>F81*5%</f>
        <v>1.8048202614379087</v>
      </c>
      <c r="G83" s="612">
        <f>G81*5%</f>
        <v>1.8048202614379087</v>
      </c>
      <c r="H83" s="612">
        <f>H81*5%</f>
        <v>1.8048202614379087</v>
      </c>
      <c r="K83" s="694"/>
    </row>
    <row r="84" spans="1:11" ht="37.5">
      <c r="A84" s="1021"/>
      <c r="B84" s="1024">
        <v>4</v>
      </c>
      <c r="C84" s="1038" t="s">
        <v>1145</v>
      </c>
      <c r="D84" s="612">
        <f>D81*D82+D83</f>
        <v>39.703714501706472</v>
      </c>
      <c r="E84" s="612">
        <f>E81*E82+E83</f>
        <v>41.596211551857422</v>
      </c>
      <c r="F84" s="612">
        <f>F81*F82+F83</f>
        <v>43.583211229502574</v>
      </c>
      <c r="G84" s="612">
        <f>G81*G82+G83</f>
        <v>45.669432562659736</v>
      </c>
      <c r="H84" s="612">
        <f>H81*H82+H83</f>
        <v>47.859830225973973</v>
      </c>
      <c r="K84" s="694"/>
    </row>
    <row r="85" spans="1:11" ht="18.75">
      <c r="A85" s="1021"/>
      <c r="B85" s="1022"/>
      <c r="C85" s="1023"/>
      <c r="D85" s="1023"/>
      <c r="E85" s="1023"/>
      <c r="F85" s="1023"/>
      <c r="K85" s="694"/>
    </row>
    <row r="86" spans="1:11" ht="18.75">
      <c r="A86" s="1021"/>
      <c r="B86" s="1022"/>
      <c r="C86" s="1023"/>
      <c r="D86" s="1023"/>
      <c r="E86" s="1023"/>
      <c r="F86" s="1023"/>
      <c r="K86" s="694"/>
    </row>
    <row r="87" spans="1:11" ht="20.45" customHeight="1">
      <c r="A87" s="1021"/>
      <c r="B87" s="1740" t="s">
        <v>1154</v>
      </c>
      <c r="C87" s="1740"/>
      <c r="D87" s="1023"/>
      <c r="E87" s="1023"/>
      <c r="F87" s="1023"/>
      <c r="K87" s="694"/>
    </row>
    <row r="88" spans="1:11" ht="18.75">
      <c r="A88" s="1021"/>
      <c r="B88" s="1022"/>
      <c r="C88" s="1023"/>
      <c r="D88" s="1023"/>
      <c r="E88" s="1023"/>
      <c r="F88" s="1023"/>
      <c r="K88" s="694"/>
    </row>
    <row r="89" spans="1:11" ht="56.25">
      <c r="A89" s="1021"/>
      <c r="B89" s="1026" t="s">
        <v>1010</v>
      </c>
      <c r="C89" s="612" t="s">
        <v>768</v>
      </c>
      <c r="D89" s="1032" t="s">
        <v>1116</v>
      </c>
      <c r="E89" s="1032" t="s">
        <v>1115</v>
      </c>
      <c r="F89" s="1032" t="s">
        <v>1117</v>
      </c>
      <c r="G89" s="1032" t="s">
        <v>1118</v>
      </c>
      <c r="H89" s="1032" t="s">
        <v>1119</v>
      </c>
      <c r="K89" s="694"/>
    </row>
    <row r="90" spans="1:11" ht="18.75">
      <c r="A90" s="1021"/>
      <c r="B90" s="1044">
        <v>1</v>
      </c>
      <c r="C90" s="1038" t="s">
        <v>1155</v>
      </c>
      <c r="D90" s="612">
        <f>D61</f>
        <v>95.292357727983472</v>
      </c>
      <c r="E90" s="612">
        <f>E61</f>
        <v>99.946963314493118</v>
      </c>
      <c r="F90" s="612">
        <f>F61</f>
        <v>104.3231399121898</v>
      </c>
      <c r="G90" s="612">
        <f>G61</f>
        <v>115.69321753728602</v>
      </c>
      <c r="H90" s="612">
        <f>H61</f>
        <v>118.33168966454254</v>
      </c>
      <c r="K90" s="694"/>
    </row>
    <row r="91" spans="1:11" ht="18.75">
      <c r="A91" s="1021"/>
      <c r="B91" s="1044">
        <v>2</v>
      </c>
      <c r="C91" s="1038" t="s">
        <v>1142</v>
      </c>
      <c r="D91" s="612">
        <f>D40</f>
        <v>96.323183740292038</v>
      </c>
      <c r="E91" s="612">
        <f>E40</f>
        <v>103.41702311222507</v>
      </c>
      <c r="F91" s="612">
        <f>F40</f>
        <v>111.05754970327234</v>
      </c>
      <c r="G91" s="612">
        <f>G40</f>
        <v>119.28689400157617</v>
      </c>
      <c r="H91" s="612">
        <f>H40</f>
        <v>128.15043328424534</v>
      </c>
      <c r="K91" s="694"/>
    </row>
    <row r="92" spans="1:11" ht="18.75">
      <c r="A92" s="1021"/>
      <c r="B92" s="1044">
        <v>3</v>
      </c>
      <c r="C92" s="1038" t="s">
        <v>1156</v>
      </c>
      <c r="D92" s="612">
        <f>D84</f>
        <v>39.703714501706472</v>
      </c>
      <c r="E92" s="612">
        <f>E84</f>
        <v>41.596211551857422</v>
      </c>
      <c r="F92" s="612">
        <f>F84</f>
        <v>43.583211229502574</v>
      </c>
      <c r="G92" s="612">
        <f>G84</f>
        <v>45.669432562659736</v>
      </c>
      <c r="H92" s="612">
        <f>H84</f>
        <v>47.859830225973973</v>
      </c>
      <c r="K92" s="694"/>
    </row>
    <row r="93" spans="1:11" ht="37.5">
      <c r="A93" s="1021"/>
      <c r="B93" s="1044">
        <v>4</v>
      </c>
      <c r="C93" s="1038" t="s">
        <v>1157</v>
      </c>
      <c r="D93" s="612">
        <f>0.99*(D90+D91+D92)</f>
        <v>229.0060634102822</v>
      </c>
      <c r="E93" s="612">
        <f>0.99*(E90+E91+E92)</f>
        <v>242.51059599878982</v>
      </c>
      <c r="F93" s="612">
        <f>0.99*(F90+F91+F92)</f>
        <v>256.37426183651507</v>
      </c>
      <c r="G93" s="612">
        <f>0.99*(G90+G91+G92)</f>
        <v>277.84304866050672</v>
      </c>
      <c r="H93" s="612">
        <f>0.99*(H90+H91+H92)</f>
        <v>291.39853364301422</v>
      </c>
      <c r="K93" s="694"/>
    </row>
    <row r="94" spans="1:11" ht="18.75">
      <c r="A94" s="1021"/>
      <c r="B94" s="1022"/>
      <c r="C94" s="1023"/>
      <c r="D94" s="1023"/>
      <c r="E94" s="1023"/>
      <c r="F94" s="1023"/>
      <c r="K94" s="694"/>
    </row>
    <row r="95" spans="1:11">
      <c r="A95" s="600"/>
      <c r="B95" s="601"/>
      <c r="C95" s="1045"/>
      <c r="D95" s="601"/>
      <c r="E95" s="601"/>
      <c r="F95" s="601"/>
      <c r="G95" s="601"/>
      <c r="H95" s="601"/>
      <c r="K95" s="694"/>
    </row>
    <row r="96" spans="1:11">
      <c r="A96" s="600"/>
      <c r="B96" s="601"/>
      <c r="C96" s="601"/>
      <c r="D96" s="601"/>
      <c r="E96" s="601"/>
      <c r="F96" s="601"/>
      <c r="K96" s="694"/>
    </row>
    <row r="97" spans="1:11">
      <c r="A97" s="600"/>
      <c r="B97" s="601"/>
      <c r="C97" s="601"/>
      <c r="D97" s="601"/>
      <c r="E97" s="601"/>
      <c r="F97" s="601"/>
      <c r="K97" s="694"/>
    </row>
    <row r="98" spans="1:11" ht="15.75">
      <c r="A98" s="600"/>
      <c r="B98" s="601"/>
      <c r="C98" s="601"/>
      <c r="D98" s="601"/>
      <c r="E98" s="601"/>
      <c r="J98" s="691" t="s">
        <v>886</v>
      </c>
      <c r="K98" s="694"/>
    </row>
    <row r="99" spans="1:11">
      <c r="A99" s="600"/>
      <c r="B99" s="601"/>
      <c r="C99" s="601"/>
      <c r="D99" s="601"/>
      <c r="E99" s="601"/>
      <c r="F99" s="601"/>
      <c r="K99" s="694"/>
    </row>
    <row r="100" spans="1:11" ht="15.75" thickBot="1">
      <c r="A100" s="609"/>
      <c r="B100" s="610"/>
      <c r="C100" s="610"/>
      <c r="D100" s="610"/>
      <c r="E100" s="610"/>
      <c r="F100" s="610"/>
      <c r="G100" s="695"/>
      <c r="H100" s="695"/>
      <c r="I100" s="695"/>
      <c r="J100" s="695"/>
      <c r="K100" s="696"/>
    </row>
  </sheetData>
  <mergeCells count="7">
    <mergeCell ref="B64:F64"/>
    <mergeCell ref="B65:F65"/>
    <mergeCell ref="B87:C87"/>
    <mergeCell ref="A4:K4"/>
    <mergeCell ref="B43:E43"/>
    <mergeCell ref="B21:F21"/>
    <mergeCell ref="B22:F22"/>
  </mergeCells>
  <pageMargins left="0.70866141732283472" right="0.70866141732283472" top="0.74803149606299213" bottom="0.74803149606299213" header="0.31496062992125984" footer="0.31496062992125984"/>
  <pageSetup scale="51" orientation="portrait" r:id="rId1"/>
</worksheet>
</file>

<file path=xl/worksheets/sheet27.xml><?xml version="1.0" encoding="utf-8"?>
<worksheet xmlns="http://schemas.openxmlformats.org/spreadsheetml/2006/main" xmlns:r="http://schemas.openxmlformats.org/officeDocument/2006/relationships">
  <sheetPr>
    <tabColor rgb="FF00B050"/>
  </sheetPr>
  <dimension ref="A1:L31"/>
  <sheetViews>
    <sheetView topLeftCell="A7" workbookViewId="0">
      <selection activeCell="F19" sqref="F19"/>
    </sheetView>
  </sheetViews>
  <sheetFormatPr defaultColWidth="9.1640625" defaultRowHeight="12.75"/>
  <cols>
    <col min="1" max="1" width="7.5" style="1127" customWidth="1"/>
    <col min="2" max="2" width="38.5" style="1127" customWidth="1"/>
    <col min="3" max="3" width="12.1640625" style="1127" customWidth="1"/>
    <col min="4" max="4" width="14.5" style="1127" customWidth="1"/>
    <col min="5" max="5" width="15.33203125" style="1127" customWidth="1"/>
    <col min="6" max="6" width="19.5" style="1127" customWidth="1"/>
    <col min="7" max="16384" width="9.1640625" style="1127"/>
  </cols>
  <sheetData>
    <row r="1" spans="1:9">
      <c r="A1" s="287"/>
      <c r="B1" s="288"/>
      <c r="C1" s="288"/>
      <c r="D1" s="288"/>
      <c r="E1" s="288"/>
      <c r="F1" s="289" t="s">
        <v>333</v>
      </c>
      <c r="G1" s="53"/>
      <c r="H1" s="53"/>
    </row>
    <row r="2" spans="1:9">
      <c r="A2" s="290"/>
      <c r="B2" s="53"/>
      <c r="C2" s="53"/>
      <c r="D2" s="53"/>
      <c r="E2" s="53"/>
      <c r="F2" s="291" t="s">
        <v>879</v>
      </c>
      <c r="G2" s="53"/>
      <c r="H2" s="53"/>
      <c r="I2" s="54"/>
    </row>
    <row r="3" spans="1:9">
      <c r="A3" s="290"/>
      <c r="B3" s="53"/>
      <c r="C3" s="53"/>
      <c r="D3" s="53"/>
      <c r="E3" s="53"/>
      <c r="F3" s="292"/>
      <c r="G3" s="53"/>
      <c r="H3" s="53"/>
    </row>
    <row r="4" spans="1:9" ht="21.75" customHeight="1">
      <c r="A4" s="1753" t="s">
        <v>335</v>
      </c>
      <c r="B4" s="1754"/>
      <c r="C4" s="1754"/>
      <c r="D4" s="1754"/>
      <c r="E4" s="1754"/>
      <c r="F4" s="1755"/>
      <c r="G4" s="1074"/>
      <c r="H4" s="1074"/>
      <c r="I4" s="1074"/>
    </row>
    <row r="5" spans="1:9" ht="13.5">
      <c r="A5" s="293"/>
      <c r="B5" s="55"/>
      <c r="C5" s="55"/>
      <c r="D5" s="55"/>
      <c r="E5" s="55"/>
      <c r="F5" s="294"/>
      <c r="G5" s="55"/>
      <c r="H5" s="55"/>
    </row>
    <row r="6" spans="1:9" ht="13.5">
      <c r="A6" s="737" t="s">
        <v>337</v>
      </c>
      <c r="B6" s="1128"/>
      <c r="C6" s="1128" t="s">
        <v>996</v>
      </c>
      <c r="D6" s="1128"/>
      <c r="E6" s="1128"/>
      <c r="F6" s="1129"/>
      <c r="G6" s="1128"/>
      <c r="H6" s="1128"/>
      <c r="I6" s="1128"/>
    </row>
    <row r="7" spans="1:9" ht="13.5">
      <c r="A7" s="737" t="s">
        <v>338</v>
      </c>
      <c r="B7" s="1128"/>
      <c r="C7" s="1128" t="str">
        <f>'[6]Form 14'!C8</f>
        <v>Singareni Thermal Power Project</v>
      </c>
      <c r="D7" s="1130"/>
      <c r="E7" s="1128"/>
      <c r="F7" s="1129"/>
      <c r="G7" s="1128"/>
      <c r="H7" s="1128"/>
      <c r="I7" s="1128"/>
    </row>
    <row r="8" spans="1:9">
      <c r="A8" s="290"/>
      <c r="B8" s="53"/>
      <c r="C8" s="53"/>
      <c r="D8" s="53"/>
      <c r="E8" s="53"/>
      <c r="F8" s="292"/>
      <c r="G8" s="53"/>
      <c r="H8" s="53"/>
      <c r="I8" s="53"/>
    </row>
    <row r="9" spans="1:9" ht="36.75" customHeight="1">
      <c r="A9" s="1756" t="s">
        <v>417</v>
      </c>
      <c r="B9" s="1759" t="s">
        <v>592</v>
      </c>
      <c r="C9" s="1762" t="s">
        <v>392</v>
      </c>
      <c r="D9" s="1131" t="s">
        <v>1004</v>
      </c>
      <c r="E9" s="1131" t="s">
        <v>1003</v>
      </c>
      <c r="F9" s="1132" t="s">
        <v>1002</v>
      </c>
    </row>
    <row r="10" spans="1:9" ht="15.75" customHeight="1">
      <c r="A10" s="1757"/>
      <c r="B10" s="1760"/>
      <c r="C10" s="1763"/>
      <c r="D10" s="1765">
        <v>43405</v>
      </c>
      <c r="E10" s="1765">
        <v>43435</v>
      </c>
      <c r="F10" s="1768">
        <v>43466</v>
      </c>
    </row>
    <row r="11" spans="1:9" ht="15.75" customHeight="1">
      <c r="A11" s="1757"/>
      <c r="B11" s="1760"/>
      <c r="C11" s="1763"/>
      <c r="D11" s="1766"/>
      <c r="E11" s="1766"/>
      <c r="F11" s="1769"/>
    </row>
    <row r="12" spans="1:9" ht="15.75" customHeight="1">
      <c r="A12" s="1758"/>
      <c r="B12" s="1761"/>
      <c r="C12" s="1764"/>
      <c r="D12" s="1767"/>
      <c r="E12" s="1767"/>
      <c r="F12" s="1770"/>
    </row>
    <row r="13" spans="1:9" ht="28.35" customHeight="1">
      <c r="A13" s="1133">
        <v>1</v>
      </c>
      <c r="B13" s="1134" t="s">
        <v>1101</v>
      </c>
      <c r="C13" s="1135" t="s">
        <v>395</v>
      </c>
      <c r="D13" s="1136">
        <v>49</v>
      </c>
      <c r="E13" s="1136">
        <v>373.83600000000001</v>
      </c>
      <c r="F13" s="1137">
        <v>74</v>
      </c>
      <c r="G13" s="1138"/>
    </row>
    <row r="14" spans="1:9" ht="30.95" customHeight="1">
      <c r="A14" s="1133">
        <v>2</v>
      </c>
      <c r="B14" s="1134" t="s">
        <v>594</v>
      </c>
      <c r="C14" s="1135" t="s">
        <v>395</v>
      </c>
      <c r="D14" s="1139">
        <v>0</v>
      </c>
      <c r="E14" s="1139">
        <v>0</v>
      </c>
      <c r="F14" s="1140">
        <v>0</v>
      </c>
    </row>
    <row r="15" spans="1:9" ht="24.75" customHeight="1">
      <c r="A15" s="1133">
        <v>3</v>
      </c>
      <c r="B15" s="1134" t="s">
        <v>595</v>
      </c>
      <c r="C15" s="1135" t="s">
        <v>395</v>
      </c>
      <c r="D15" s="1141">
        <f t="shared" ref="D15:F15" si="0">D13+D14</f>
        <v>49</v>
      </c>
      <c r="E15" s="1141">
        <f t="shared" si="0"/>
        <v>373.83600000000001</v>
      </c>
      <c r="F15" s="1139">
        <f t="shared" si="0"/>
        <v>74</v>
      </c>
      <c r="G15" s="1142"/>
    </row>
    <row r="16" spans="1:9" ht="30" customHeight="1">
      <c r="A16" s="1133">
        <v>4</v>
      </c>
      <c r="B16" s="1134" t="s">
        <v>596</v>
      </c>
      <c r="C16" s="1135" t="s">
        <v>395</v>
      </c>
      <c r="D16" s="1143">
        <v>0</v>
      </c>
      <c r="E16" s="1143">
        <v>0</v>
      </c>
      <c r="F16" s="1144">
        <v>0</v>
      </c>
    </row>
    <row r="17" spans="1:12" ht="13.5" customHeight="1">
      <c r="A17" s="1133">
        <v>5</v>
      </c>
      <c r="B17" s="1134" t="s">
        <v>597</v>
      </c>
      <c r="C17" s="1135" t="s">
        <v>395</v>
      </c>
      <c r="D17" s="1145">
        <f t="shared" ref="D17:F17" si="1">D15-D16</f>
        <v>49</v>
      </c>
      <c r="E17" s="1145">
        <f t="shared" si="1"/>
        <v>373.83600000000001</v>
      </c>
      <c r="F17" s="1144">
        <f t="shared" si="1"/>
        <v>74</v>
      </c>
    </row>
    <row r="18" spans="1:12" ht="23.45" customHeight="1">
      <c r="A18" s="1133">
        <v>6</v>
      </c>
      <c r="B18" s="1134" t="s">
        <v>598</v>
      </c>
      <c r="C18" s="1135" t="s">
        <v>293</v>
      </c>
      <c r="D18" s="1146">
        <v>2789815</v>
      </c>
      <c r="E18" s="1146">
        <v>18078568</v>
      </c>
      <c r="F18" s="1147">
        <v>3352982</v>
      </c>
    </row>
    <row r="19" spans="1:12" ht="26.1" customHeight="1">
      <c r="A19" s="1133">
        <v>7</v>
      </c>
      <c r="B19" s="1134" t="s">
        <v>599</v>
      </c>
      <c r="C19" s="1135" t="s">
        <v>293</v>
      </c>
      <c r="D19" s="1146">
        <v>0</v>
      </c>
      <c r="E19" s="1146">
        <v>0</v>
      </c>
      <c r="F19" s="1147">
        <v>0</v>
      </c>
    </row>
    <row r="20" spans="1:12" ht="20.25" customHeight="1">
      <c r="A20" s="1133">
        <v>8</v>
      </c>
      <c r="B20" s="1134" t="s">
        <v>295</v>
      </c>
      <c r="C20" s="1135" t="s">
        <v>293</v>
      </c>
      <c r="D20" s="1146">
        <f t="shared" ref="D20:F20" si="2">D18+D19</f>
        <v>2789815</v>
      </c>
      <c r="E20" s="1146">
        <f t="shared" si="2"/>
        <v>18078568</v>
      </c>
      <c r="F20" s="1147">
        <f t="shared" si="2"/>
        <v>3352982</v>
      </c>
    </row>
    <row r="21" spans="1:12" ht="23.45" customHeight="1">
      <c r="A21" s="1133">
        <v>9</v>
      </c>
      <c r="B21" s="1134" t="s">
        <v>365</v>
      </c>
      <c r="C21" s="1135" t="s">
        <v>296</v>
      </c>
      <c r="D21" s="1148">
        <v>69972</v>
      </c>
      <c r="E21" s="1148">
        <v>1098921</v>
      </c>
      <c r="F21" s="1149">
        <v>203108</v>
      </c>
    </row>
    <row r="22" spans="1:12" ht="23.45" customHeight="1">
      <c r="A22" s="1133">
        <v>10</v>
      </c>
      <c r="B22" s="1134" t="s">
        <v>297</v>
      </c>
      <c r="C22" s="1135" t="s">
        <v>296</v>
      </c>
      <c r="D22" s="1146">
        <v>0</v>
      </c>
      <c r="E22" s="1146">
        <v>0</v>
      </c>
      <c r="F22" s="1147">
        <v>0</v>
      </c>
    </row>
    <row r="23" spans="1:12" ht="17.850000000000001" customHeight="1">
      <c r="A23" s="1133">
        <v>11</v>
      </c>
      <c r="B23" s="1134" t="s">
        <v>298</v>
      </c>
      <c r="C23" s="1135" t="s">
        <v>296</v>
      </c>
      <c r="D23" s="1146">
        <v>0</v>
      </c>
      <c r="E23" s="1146">
        <v>0</v>
      </c>
      <c r="F23" s="1147">
        <v>0</v>
      </c>
    </row>
    <row r="24" spans="1:12" ht="25.35" customHeight="1">
      <c r="A24" s="1133">
        <v>12</v>
      </c>
      <c r="B24" s="1134" t="s">
        <v>299</v>
      </c>
      <c r="C24" s="1135" t="s">
        <v>296</v>
      </c>
      <c r="D24" s="1146">
        <v>0</v>
      </c>
      <c r="E24" s="1146">
        <v>0</v>
      </c>
      <c r="F24" s="1147">
        <v>0</v>
      </c>
    </row>
    <row r="25" spans="1:12" ht="24.2" customHeight="1">
      <c r="A25" s="1133">
        <v>13</v>
      </c>
      <c r="B25" s="1134" t="s">
        <v>300</v>
      </c>
      <c r="C25" s="1135" t="s">
        <v>296</v>
      </c>
      <c r="D25" s="1146">
        <f>+D21+D22-D23+D24</f>
        <v>69972</v>
      </c>
      <c r="E25" s="1146">
        <f>+E21+E22-E23+E24</f>
        <v>1098921</v>
      </c>
      <c r="F25" s="1147">
        <f>+F21+F22-F23+F24</f>
        <v>203108</v>
      </c>
    </row>
    <row r="26" spans="1:12" ht="27" customHeight="1">
      <c r="A26" s="1133">
        <v>14</v>
      </c>
      <c r="B26" s="1134" t="s">
        <v>600</v>
      </c>
      <c r="C26" s="1135" t="s">
        <v>296</v>
      </c>
      <c r="D26" s="1146">
        <f t="shared" ref="D26:F26" si="3">D20+D25</f>
        <v>2859787</v>
      </c>
      <c r="E26" s="1146">
        <f t="shared" si="3"/>
        <v>19177489</v>
      </c>
      <c r="F26" s="1147">
        <f t="shared" si="3"/>
        <v>3556090</v>
      </c>
    </row>
    <row r="27" spans="1:12" ht="24.2" customHeight="1">
      <c r="A27" s="1133">
        <v>15</v>
      </c>
      <c r="B27" s="1134" t="s">
        <v>601</v>
      </c>
      <c r="C27" s="1135" t="s">
        <v>589</v>
      </c>
      <c r="D27" s="1146">
        <v>10080</v>
      </c>
      <c r="E27" s="1146">
        <v>10080</v>
      </c>
      <c r="F27" s="1147">
        <v>10080</v>
      </c>
    </row>
    <row r="28" spans="1:12" ht="24.2" customHeight="1">
      <c r="A28" s="1150">
        <v>16</v>
      </c>
      <c r="B28" s="1151" t="s">
        <v>602</v>
      </c>
      <c r="C28" s="1135" t="s">
        <v>603</v>
      </c>
      <c r="D28" s="1145">
        <f>D26/D17</f>
        <v>58363</v>
      </c>
      <c r="E28" s="1145">
        <f>E26/E17</f>
        <v>51299.203394001648</v>
      </c>
      <c r="F28" s="1152">
        <f>F26/F17</f>
        <v>48055.270270270274</v>
      </c>
      <c r="L28" s="1153"/>
    </row>
    <row r="29" spans="1:12" ht="41.25" customHeight="1">
      <c r="A29" s="1745"/>
      <c r="B29" s="1747"/>
      <c r="C29" s="1748"/>
      <c r="D29" s="1748"/>
      <c r="E29" s="1748"/>
      <c r="F29" s="1749"/>
    </row>
    <row r="30" spans="1:12" ht="34.5" customHeight="1">
      <c r="A30" s="1745"/>
      <c r="B30" s="1748"/>
      <c r="C30" s="1748"/>
      <c r="D30" s="1748"/>
      <c r="E30" s="1748"/>
      <c r="F30" s="1154"/>
    </row>
    <row r="31" spans="1:12" ht="39.75" customHeight="1" thickBot="1">
      <c r="A31" s="1746"/>
      <c r="B31" s="1750"/>
      <c r="C31" s="1750"/>
      <c r="D31" s="1155"/>
      <c r="E31" s="1751" t="s">
        <v>302</v>
      </c>
      <c r="F31" s="1752"/>
    </row>
  </sheetData>
  <mergeCells count="12">
    <mergeCell ref="A4:F4"/>
    <mergeCell ref="A9:A12"/>
    <mergeCell ref="B9:B12"/>
    <mergeCell ref="C9:C12"/>
    <mergeCell ref="D10:D12"/>
    <mergeCell ref="E10:E12"/>
    <mergeCell ref="F10:F12"/>
    <mergeCell ref="A29:A31"/>
    <mergeCell ref="B29:F29"/>
    <mergeCell ref="B30:E30"/>
    <mergeCell ref="B31:C31"/>
    <mergeCell ref="E31:F31"/>
  </mergeCells>
  <pageMargins left="0.7" right="0.7" top="0.75" bottom="0.75" header="0.3" footer="0.3"/>
  <pageSetup paperSize="9" orientation="portrait" horizontalDpi="4294967293" verticalDpi="4294967295" r:id="rId1"/>
</worksheet>
</file>

<file path=xl/worksheets/sheet28.xml><?xml version="1.0" encoding="utf-8"?>
<worksheet xmlns="http://schemas.openxmlformats.org/spreadsheetml/2006/main" xmlns:r="http://schemas.openxmlformats.org/officeDocument/2006/relationships">
  <sheetPr>
    <tabColor rgb="FF00B050"/>
  </sheetPr>
  <dimension ref="A1:N31"/>
  <sheetViews>
    <sheetView topLeftCell="A16" workbookViewId="0">
      <selection activeCell="F41" sqref="F41"/>
    </sheetView>
  </sheetViews>
  <sheetFormatPr defaultColWidth="9.1640625" defaultRowHeight="12.75"/>
  <cols>
    <col min="1" max="1" width="7.5" style="1127" customWidth="1"/>
    <col min="2" max="2" width="38.5" style="1127" customWidth="1"/>
    <col min="3" max="3" width="9.6640625" style="1127" customWidth="1"/>
    <col min="4" max="6" width="16" style="1127" customWidth="1"/>
    <col min="7" max="10" width="9.1640625" style="1127"/>
    <col min="11" max="11" width="11.5" style="1127" customWidth="1"/>
    <col min="12" max="12" width="14.83203125" style="1127" customWidth="1"/>
    <col min="13" max="14" width="17.5" style="1127" customWidth="1"/>
    <col min="15" max="16384" width="9.1640625" style="1127"/>
  </cols>
  <sheetData>
    <row r="1" spans="1:14">
      <c r="A1" s="287"/>
      <c r="B1" s="288"/>
      <c r="C1" s="288"/>
      <c r="D1" s="288"/>
      <c r="E1" s="288"/>
      <c r="F1" s="289" t="s">
        <v>333</v>
      </c>
      <c r="G1" s="53"/>
      <c r="H1" s="53"/>
    </row>
    <row r="2" spans="1:14">
      <c r="A2" s="290"/>
      <c r="B2" s="53"/>
      <c r="C2" s="53"/>
      <c r="D2" s="53"/>
      <c r="E2" s="53"/>
      <c r="F2" s="291" t="s">
        <v>880</v>
      </c>
      <c r="G2" s="53"/>
      <c r="H2" s="53"/>
      <c r="I2" s="54"/>
    </row>
    <row r="3" spans="1:14">
      <c r="A3" s="290"/>
      <c r="B3" s="53"/>
      <c r="C3" s="53"/>
      <c r="D3" s="53"/>
      <c r="E3" s="53"/>
      <c r="F3" s="292"/>
      <c r="G3" s="53"/>
      <c r="H3" s="53"/>
    </row>
    <row r="4" spans="1:14" ht="21.75" customHeight="1">
      <c r="A4" s="1753" t="s">
        <v>335</v>
      </c>
      <c r="B4" s="1754"/>
      <c r="C4" s="1754"/>
      <c r="D4" s="1754"/>
      <c r="E4" s="1754"/>
      <c r="F4" s="1755"/>
      <c r="G4" s="1074"/>
      <c r="H4" s="1074"/>
      <c r="I4" s="1074"/>
    </row>
    <row r="5" spans="1:14" ht="13.5">
      <c r="A5" s="293"/>
      <c r="B5" s="55"/>
      <c r="C5" s="55"/>
      <c r="D5" s="55"/>
      <c r="E5" s="55"/>
      <c r="F5" s="294"/>
      <c r="G5" s="55"/>
      <c r="H5" s="55"/>
    </row>
    <row r="6" spans="1:14" ht="13.5">
      <c r="A6" s="737" t="s">
        <v>1035</v>
      </c>
      <c r="B6" s="1128"/>
      <c r="C6" s="1128" t="str">
        <f>'[6]Form 18 LDO'!C6</f>
        <v>The Singareni Collieries Company Ltd</v>
      </c>
      <c r="D6" s="1128"/>
      <c r="E6" s="1128"/>
      <c r="F6" s="1129"/>
      <c r="G6" s="1128"/>
      <c r="H6" s="1128"/>
      <c r="I6" s="1128"/>
    </row>
    <row r="7" spans="1:14" ht="13.5">
      <c r="A7" s="737" t="s">
        <v>1036</v>
      </c>
      <c r="B7" s="1128"/>
      <c r="C7" s="1128" t="str">
        <f>'[6]Form 18 LDO'!C7</f>
        <v>Singareni Thermal Power Project</v>
      </c>
      <c r="D7" s="1130"/>
      <c r="E7" s="1128"/>
      <c r="F7" s="1129"/>
      <c r="G7" s="1128"/>
      <c r="H7" s="1128"/>
      <c r="I7" s="1128"/>
    </row>
    <row r="8" spans="1:14">
      <c r="A8" s="290"/>
      <c r="B8" s="53"/>
      <c r="C8" s="53"/>
      <c r="D8" s="53"/>
      <c r="E8" s="53"/>
      <c r="F8" s="292"/>
      <c r="G8" s="53"/>
      <c r="H8" s="53"/>
      <c r="I8" s="53"/>
    </row>
    <row r="9" spans="1:14" ht="36.75" customHeight="1">
      <c r="A9" s="1756" t="s">
        <v>417</v>
      </c>
      <c r="B9" s="1759" t="s">
        <v>592</v>
      </c>
      <c r="C9" s="1762" t="s">
        <v>392</v>
      </c>
      <c r="D9" s="1131" t="s">
        <v>1004</v>
      </c>
      <c r="E9" s="1131" t="s">
        <v>1003</v>
      </c>
      <c r="F9" s="1132" t="s">
        <v>1002</v>
      </c>
    </row>
    <row r="10" spans="1:14" ht="18" customHeight="1">
      <c r="A10" s="1757"/>
      <c r="B10" s="1760"/>
      <c r="C10" s="1763"/>
      <c r="D10" s="1765">
        <v>43405</v>
      </c>
      <c r="E10" s="1765">
        <v>43435</v>
      </c>
      <c r="F10" s="1768">
        <v>43466</v>
      </c>
    </row>
    <row r="11" spans="1:14" ht="15" customHeight="1">
      <c r="A11" s="1757"/>
      <c r="B11" s="1760"/>
      <c r="C11" s="1763"/>
      <c r="D11" s="1766"/>
      <c r="E11" s="1766"/>
      <c r="F11" s="1769"/>
    </row>
    <row r="12" spans="1:14" ht="21" customHeight="1">
      <c r="A12" s="1758"/>
      <c r="B12" s="1761"/>
      <c r="C12" s="1764"/>
      <c r="D12" s="1767"/>
      <c r="E12" s="1767"/>
      <c r="F12" s="1770"/>
      <c r="K12" s="1771" t="s">
        <v>1254</v>
      </c>
      <c r="L12" s="1771"/>
      <c r="M12" s="1771"/>
      <c r="N12" s="1771"/>
    </row>
    <row r="13" spans="1:14" ht="28.35" customHeight="1">
      <c r="A13" s="1133">
        <v>1</v>
      </c>
      <c r="B13" s="1134" t="s">
        <v>1102</v>
      </c>
      <c r="C13" s="1135" t="s">
        <v>395</v>
      </c>
      <c r="D13" s="1136">
        <v>150</v>
      </c>
      <c r="E13" s="1156">
        <v>511.553</v>
      </c>
      <c r="F13" s="1157">
        <v>338.40699999999998</v>
      </c>
    </row>
    <row r="14" spans="1:14" ht="30.95" customHeight="1">
      <c r="A14" s="1133">
        <v>2</v>
      </c>
      <c r="B14" s="1134" t="s">
        <v>594</v>
      </c>
      <c r="C14" s="1135" t="s">
        <v>395</v>
      </c>
      <c r="D14" s="1139">
        <v>0</v>
      </c>
      <c r="E14" s="1139">
        <v>0</v>
      </c>
      <c r="F14" s="1140">
        <v>0</v>
      </c>
      <c r="L14" s="1135" t="s">
        <v>288</v>
      </c>
      <c r="M14" s="1135" t="s">
        <v>289</v>
      </c>
      <c r="N14" s="1158" t="s">
        <v>290</v>
      </c>
    </row>
    <row r="15" spans="1:14" ht="24.75" customHeight="1" thickBot="1">
      <c r="A15" s="1133">
        <v>3</v>
      </c>
      <c r="B15" s="1134" t="s">
        <v>595</v>
      </c>
      <c r="C15" s="1135" t="s">
        <v>395</v>
      </c>
      <c r="D15" s="1141">
        <f t="shared" ref="D15:F15" si="0">D13+D14</f>
        <v>150</v>
      </c>
      <c r="E15" s="1139">
        <f t="shared" si="0"/>
        <v>511.553</v>
      </c>
      <c r="F15" s="1159">
        <f t="shared" si="0"/>
        <v>338.40699999999998</v>
      </c>
      <c r="K15" s="1160" t="s">
        <v>604</v>
      </c>
    </row>
    <row r="16" spans="1:14" ht="30" customHeight="1">
      <c r="A16" s="1133">
        <v>4</v>
      </c>
      <c r="B16" s="1134" t="s">
        <v>1055</v>
      </c>
      <c r="C16" s="1135" t="s">
        <v>395</v>
      </c>
      <c r="D16" s="1143">
        <v>0</v>
      </c>
      <c r="E16" s="1143">
        <v>0</v>
      </c>
      <c r="F16" s="1144">
        <v>0</v>
      </c>
      <c r="K16" s="1161" t="s">
        <v>606</v>
      </c>
      <c r="L16" s="1162">
        <f>'Form 18 LDO (2)'!D13</f>
        <v>49</v>
      </c>
      <c r="M16" s="1162">
        <f>'Form 18 LDO (2)'!E13</f>
        <v>373.83600000000001</v>
      </c>
      <c r="N16" s="1163">
        <f>'Form 18 LDO (2)'!F13</f>
        <v>74</v>
      </c>
    </row>
    <row r="17" spans="1:14" ht="13.5" customHeight="1">
      <c r="A17" s="1133">
        <v>5</v>
      </c>
      <c r="B17" s="1134" t="s">
        <v>597</v>
      </c>
      <c r="C17" s="1135" t="s">
        <v>395</v>
      </c>
      <c r="D17" s="1145">
        <f t="shared" ref="D17:F17" si="1">D15-D16</f>
        <v>150</v>
      </c>
      <c r="E17" s="1143">
        <f t="shared" si="1"/>
        <v>511.553</v>
      </c>
      <c r="F17" s="1152">
        <f t="shared" si="1"/>
        <v>338.40699999999998</v>
      </c>
      <c r="K17" s="1142" t="s">
        <v>607</v>
      </c>
      <c r="L17" s="1194">
        <f>'Form 18 LDO (2)'!D28</f>
        <v>58363</v>
      </c>
      <c r="M17" s="1194">
        <f>'Form 18 LDO (2)'!E28</f>
        <v>51299.203394001648</v>
      </c>
      <c r="N17" s="1164">
        <f>'Form 18 LDO (2)'!F28</f>
        <v>48055.270270270274</v>
      </c>
    </row>
    <row r="18" spans="1:14" ht="23.45" customHeight="1" thickBot="1">
      <c r="A18" s="1133">
        <v>6</v>
      </c>
      <c r="B18" s="1134" t="s">
        <v>598</v>
      </c>
      <c r="C18" s="1135" t="s">
        <v>293</v>
      </c>
      <c r="D18" s="1146">
        <v>7075457</v>
      </c>
      <c r="E18" s="1146">
        <v>22046051</v>
      </c>
      <c r="F18" s="1147">
        <v>12225726</v>
      </c>
      <c r="K18" s="1165" t="s">
        <v>608</v>
      </c>
      <c r="L18" s="1198">
        <f>'Form 18 LDO (2)'!D27</f>
        <v>10080</v>
      </c>
      <c r="M18" s="1198">
        <f>'Form 18 LDO (2)'!E27</f>
        <v>10080</v>
      </c>
      <c r="N18" s="1199">
        <f>'Form 18 LDO (2)'!F27</f>
        <v>10080</v>
      </c>
    </row>
    <row r="19" spans="1:14" ht="26.1" customHeight="1" thickBot="1">
      <c r="A19" s="1133">
        <v>7</v>
      </c>
      <c r="B19" s="1134" t="s">
        <v>599</v>
      </c>
      <c r="C19" s="1135" t="s">
        <v>293</v>
      </c>
      <c r="D19" s="1146">
        <v>0</v>
      </c>
      <c r="E19" s="1146">
        <v>0</v>
      </c>
      <c r="F19" s="1147">
        <v>0</v>
      </c>
      <c r="H19" s="1166"/>
      <c r="K19" s="1160" t="s">
        <v>605</v>
      </c>
      <c r="L19" s="1200"/>
      <c r="M19" s="1200"/>
      <c r="N19" s="1200"/>
    </row>
    <row r="20" spans="1:14" ht="20.25" customHeight="1">
      <c r="A20" s="1133">
        <v>8</v>
      </c>
      <c r="B20" s="1134" t="s">
        <v>295</v>
      </c>
      <c r="C20" s="1135" t="s">
        <v>293</v>
      </c>
      <c r="D20" s="1146">
        <f>+D18+D19</f>
        <v>7075457</v>
      </c>
      <c r="E20" s="1146">
        <f>+E18+E19</f>
        <v>22046051</v>
      </c>
      <c r="F20" s="1147">
        <f>+F18+F19</f>
        <v>12225726</v>
      </c>
      <c r="K20" s="1195" t="s">
        <v>606</v>
      </c>
      <c r="L20" s="1162">
        <f>D17</f>
        <v>150</v>
      </c>
      <c r="M20" s="1162">
        <f>E17</f>
        <v>511.553</v>
      </c>
      <c r="N20" s="1163">
        <f>F17</f>
        <v>338.40699999999998</v>
      </c>
    </row>
    <row r="21" spans="1:14" ht="23.45" customHeight="1">
      <c r="A21" s="1133">
        <v>9</v>
      </c>
      <c r="B21" s="1134" t="s">
        <v>1103</v>
      </c>
      <c r="C21" s="1135" t="s">
        <v>296</v>
      </c>
      <c r="D21" s="1146">
        <v>214200</v>
      </c>
      <c r="E21" s="1146">
        <v>1714300</v>
      </c>
      <c r="F21" s="1147">
        <v>952988</v>
      </c>
      <c r="K21" s="1196" t="s">
        <v>609</v>
      </c>
      <c r="L21" s="1194">
        <f>D28</f>
        <v>48597.713333333333</v>
      </c>
      <c r="M21" s="1194">
        <f t="shared" ref="M21:N21" si="2">E28</f>
        <v>46447.486379710412</v>
      </c>
      <c r="N21" s="1164">
        <f t="shared" si="2"/>
        <v>38943.384740859379</v>
      </c>
    </row>
    <row r="22" spans="1:14" ht="23.45" customHeight="1" thickBot="1">
      <c r="A22" s="1133">
        <v>10</v>
      </c>
      <c r="B22" s="1134" t="s">
        <v>297</v>
      </c>
      <c r="C22" s="1135" t="s">
        <v>296</v>
      </c>
      <c r="D22" s="1146">
        <v>0</v>
      </c>
      <c r="E22" s="1146">
        <v>0</v>
      </c>
      <c r="F22" s="1147">
        <v>0</v>
      </c>
      <c r="K22" s="1197" t="s">
        <v>610</v>
      </c>
      <c r="L22" s="1198">
        <f>D27</f>
        <v>9950</v>
      </c>
      <c r="M22" s="1198">
        <f t="shared" ref="M22:N22" si="3">E27</f>
        <v>9950</v>
      </c>
      <c r="N22" s="1199">
        <f t="shared" si="3"/>
        <v>9950</v>
      </c>
    </row>
    <row r="23" spans="1:14" ht="17.850000000000001" customHeight="1" thickBot="1">
      <c r="A23" s="1133">
        <v>11</v>
      </c>
      <c r="B23" s="1134" t="s">
        <v>298</v>
      </c>
      <c r="C23" s="1135" t="s">
        <v>296</v>
      </c>
      <c r="D23" s="1146">
        <v>0</v>
      </c>
      <c r="E23" s="1146">
        <v>0</v>
      </c>
      <c r="F23" s="1147">
        <v>0</v>
      </c>
      <c r="L23" s="1200"/>
      <c r="M23" s="1200"/>
      <c r="N23" s="1200"/>
    </row>
    <row r="24" spans="1:14" ht="25.35" customHeight="1">
      <c r="A24" s="1133">
        <v>12</v>
      </c>
      <c r="B24" s="1134" t="s">
        <v>299</v>
      </c>
      <c r="C24" s="1135" t="s">
        <v>296</v>
      </c>
      <c r="D24" s="1146">
        <v>0</v>
      </c>
      <c r="E24" s="1146">
        <v>0</v>
      </c>
      <c r="F24" s="1147">
        <v>0</v>
      </c>
      <c r="K24" s="1161" t="s">
        <v>614</v>
      </c>
      <c r="L24" s="1162">
        <f>L16+L20</f>
        <v>199</v>
      </c>
      <c r="M24" s="1162">
        <f t="shared" ref="M24:N24" si="4">M16+M20</f>
        <v>885.38900000000001</v>
      </c>
      <c r="N24" s="1163">
        <f t="shared" si="4"/>
        <v>412.40699999999998</v>
      </c>
    </row>
    <row r="25" spans="1:14" ht="24.2" customHeight="1">
      <c r="A25" s="1133">
        <v>13</v>
      </c>
      <c r="B25" s="1134" t="s">
        <v>300</v>
      </c>
      <c r="C25" s="1135" t="s">
        <v>296</v>
      </c>
      <c r="D25" s="1146">
        <f>+D21+D22-D23+D24</f>
        <v>214200</v>
      </c>
      <c r="E25" s="1146">
        <f>+E21+E22-E23+E24</f>
        <v>1714300</v>
      </c>
      <c r="F25" s="1147">
        <f>+F21+F22-F23+F24</f>
        <v>952988</v>
      </c>
      <c r="K25" s="1142" t="s">
        <v>611</v>
      </c>
      <c r="L25" s="1200">
        <f>(L17*L16+L20*L21)/(L16+L20)</f>
        <v>51002.231155778893</v>
      </c>
      <c r="M25" s="1200">
        <f>(M17*M16+M20*M21)/(M16+M20)</f>
        <v>48496.017004954883</v>
      </c>
      <c r="N25" s="1201">
        <f>(N17*N16+N20*N21)/(N16+N20)</f>
        <v>40578.370396234786</v>
      </c>
    </row>
    <row r="26" spans="1:14" ht="27" customHeight="1" thickBot="1">
      <c r="A26" s="1133">
        <v>14</v>
      </c>
      <c r="B26" s="1134" t="s">
        <v>600</v>
      </c>
      <c r="C26" s="1135" t="s">
        <v>296</v>
      </c>
      <c r="D26" s="1146">
        <f>+D20+D25</f>
        <v>7289657</v>
      </c>
      <c r="E26" s="1146">
        <f>+E20+E25</f>
        <v>23760351</v>
      </c>
      <c r="F26" s="1147">
        <f>+F20+F25</f>
        <v>13178714</v>
      </c>
      <c r="K26" s="1165" t="s">
        <v>612</v>
      </c>
      <c r="L26" s="1202">
        <f>(L18*L16+L22*L20)/(L16+L20)</f>
        <v>9982.010050251256</v>
      </c>
      <c r="M26" s="1202">
        <f>(M18*M16+M22*M20)/(M16+M20)</f>
        <v>10004.889636080865</v>
      </c>
      <c r="N26" s="1203">
        <f>(N18*N16+N22*N20)/(N16+N20)</f>
        <v>9973.3264711801694</v>
      </c>
    </row>
    <row r="27" spans="1:14" ht="24.2" customHeight="1">
      <c r="A27" s="1133">
        <v>15</v>
      </c>
      <c r="B27" s="1134" t="s">
        <v>601</v>
      </c>
      <c r="C27" s="1135" t="s">
        <v>589</v>
      </c>
      <c r="D27" s="1146">
        <v>9950</v>
      </c>
      <c r="E27" s="1146">
        <v>9950</v>
      </c>
      <c r="F27" s="1147">
        <v>9950</v>
      </c>
    </row>
    <row r="28" spans="1:14" ht="24.2" customHeight="1" thickBot="1">
      <c r="A28" s="1150">
        <v>16</v>
      </c>
      <c r="B28" s="1167" t="s">
        <v>602</v>
      </c>
      <c r="C28" s="1135" t="s">
        <v>603</v>
      </c>
      <c r="D28" s="1168">
        <f>+D26/D17</f>
        <v>48597.713333333333</v>
      </c>
      <c r="E28" s="1168">
        <f>+E26/E17</f>
        <v>46447.486379710412</v>
      </c>
      <c r="F28" s="1169">
        <f>+F26/F17</f>
        <v>38943.384740859379</v>
      </c>
      <c r="G28" s="1127" t="s">
        <v>386</v>
      </c>
      <c r="K28" s="1127" t="s">
        <v>613</v>
      </c>
    </row>
    <row r="29" spans="1:14" ht="41.25" customHeight="1">
      <c r="A29" s="1745"/>
      <c r="B29" s="1747"/>
      <c r="C29" s="1748"/>
      <c r="D29" s="1748"/>
      <c r="E29" s="1748"/>
      <c r="F29" s="1749"/>
      <c r="K29" s="1170" t="s">
        <v>609</v>
      </c>
      <c r="L29" s="1163">
        <f>(L24*L25+M24*M25+N24*N25)/(L24+M24+N24)</f>
        <v>46647.698149914882</v>
      </c>
    </row>
    <row r="30" spans="1:14" ht="34.5" customHeight="1" thickBot="1">
      <c r="A30" s="1745"/>
      <c r="B30" s="1772"/>
      <c r="C30" s="1772"/>
      <c r="D30" s="1772"/>
      <c r="E30" s="1772"/>
      <c r="F30" s="1154"/>
      <c r="K30" s="1171" t="s">
        <v>610</v>
      </c>
      <c r="L30" s="1199">
        <f>(L24*L26+M24*M26+N24*N26)/(L24+M24+N24)</f>
        <v>9993.1512911579139</v>
      </c>
    </row>
    <row r="31" spans="1:14" ht="39.75" customHeight="1" thickBot="1">
      <c r="A31" s="1746"/>
      <c r="B31" s="1750"/>
      <c r="C31" s="1750"/>
      <c r="D31" s="1155"/>
      <c r="E31" s="1751" t="s">
        <v>302</v>
      </c>
      <c r="F31" s="1752"/>
    </row>
  </sheetData>
  <mergeCells count="13">
    <mergeCell ref="A4:F4"/>
    <mergeCell ref="A9:A12"/>
    <mergeCell ref="B9:B12"/>
    <mergeCell ref="C9:C12"/>
    <mergeCell ref="D10:D12"/>
    <mergeCell ref="E10:E12"/>
    <mergeCell ref="F10:F12"/>
    <mergeCell ref="K12:N12"/>
    <mergeCell ref="A29:A31"/>
    <mergeCell ref="B29:F29"/>
    <mergeCell ref="B30:E30"/>
    <mergeCell ref="B31:C31"/>
    <mergeCell ref="E31:F31"/>
  </mergeCells>
  <pageMargins left="0.7" right="0.7" top="0.75" bottom="0.75" header="0.3" footer="0.3"/>
  <pageSetup paperSize="9" orientation="portrait" horizontalDpi="4294967293" verticalDpi="4294967295" r:id="rId1"/>
</worksheet>
</file>

<file path=xl/worksheets/sheet29.xml><?xml version="1.0" encoding="utf-8"?>
<worksheet xmlns="http://schemas.openxmlformats.org/spreadsheetml/2006/main" xmlns:r="http://schemas.openxmlformats.org/officeDocument/2006/relationships">
  <sheetPr>
    <tabColor rgb="FF00B050"/>
  </sheetPr>
  <dimension ref="A1:R31"/>
  <sheetViews>
    <sheetView topLeftCell="A20" workbookViewId="0">
      <selection activeCell="F28" sqref="F28:I28"/>
    </sheetView>
  </sheetViews>
  <sheetFormatPr defaultColWidth="9.1640625" defaultRowHeight="12.75"/>
  <cols>
    <col min="1" max="1" width="7.5" style="1127" customWidth="1"/>
    <col min="2" max="2" width="38.5" style="1127" customWidth="1"/>
    <col min="3" max="3" width="9.6640625" style="1127" customWidth="1"/>
    <col min="4" max="12" width="18.6640625" style="1127" customWidth="1"/>
    <col min="13" max="16384" width="9.1640625" style="1127"/>
  </cols>
  <sheetData>
    <row r="1" spans="1:15">
      <c r="A1" s="287"/>
      <c r="B1" s="288"/>
      <c r="C1" s="288"/>
      <c r="D1" s="288"/>
      <c r="E1" s="288"/>
      <c r="F1" s="288"/>
      <c r="G1" s="288"/>
      <c r="H1" s="288"/>
      <c r="I1" s="288"/>
      <c r="J1" s="288"/>
      <c r="K1" s="288"/>
      <c r="L1" s="1172"/>
      <c r="M1" s="53"/>
      <c r="N1" s="53"/>
    </row>
    <row r="2" spans="1:15">
      <c r="A2" s="290"/>
      <c r="B2" s="53"/>
      <c r="C2" s="53"/>
      <c r="D2" s="53"/>
      <c r="E2" s="53"/>
      <c r="F2" s="53"/>
      <c r="G2" s="53"/>
      <c r="H2" s="53"/>
      <c r="I2" s="53"/>
      <c r="J2" s="53"/>
      <c r="K2" s="53"/>
      <c r="L2" s="292"/>
      <c r="M2" s="53"/>
      <c r="N2" s="53"/>
      <c r="O2" s="54"/>
    </row>
    <row r="3" spans="1:15">
      <c r="A3" s="290"/>
      <c r="B3" s="53"/>
      <c r="C3" s="53"/>
      <c r="D3" s="53"/>
      <c r="E3" s="53"/>
      <c r="F3" s="53"/>
      <c r="G3" s="53"/>
      <c r="H3" s="53"/>
      <c r="I3" s="53"/>
      <c r="J3" s="53"/>
      <c r="K3" s="53"/>
      <c r="L3" s="292"/>
      <c r="M3" s="53"/>
      <c r="N3" s="53"/>
    </row>
    <row r="4" spans="1:15" ht="21.75" customHeight="1">
      <c r="A4" s="1753" t="s">
        <v>335</v>
      </c>
      <c r="B4" s="1754"/>
      <c r="C4" s="1754"/>
      <c r="D4" s="1754"/>
      <c r="E4" s="1754"/>
      <c r="F4" s="1754"/>
      <c r="G4" s="1754"/>
      <c r="H4" s="1754"/>
      <c r="I4" s="1754"/>
      <c r="J4" s="1754"/>
      <c r="K4" s="1754"/>
      <c r="L4" s="1755"/>
      <c r="M4" s="1074"/>
      <c r="N4" s="1074"/>
      <c r="O4" s="1074"/>
    </row>
    <row r="5" spans="1:15" ht="13.5">
      <c r="A5" s="293"/>
      <c r="B5" s="55"/>
      <c r="C5" s="55"/>
      <c r="D5" s="55"/>
      <c r="E5" s="55"/>
      <c r="F5" s="55"/>
      <c r="G5" s="55"/>
      <c r="H5" s="55"/>
      <c r="I5" s="55"/>
      <c r="J5" s="55"/>
      <c r="K5" s="55"/>
      <c r="L5" s="294"/>
      <c r="M5" s="55"/>
      <c r="N5" s="55"/>
    </row>
    <row r="6" spans="1:15" ht="13.5">
      <c r="A6" s="737" t="s">
        <v>1104</v>
      </c>
      <c r="B6" s="1128"/>
      <c r="C6" s="1128" t="str">
        <f>'[6]Form 18 HFO'!C6</f>
        <v>The Singareni Collieries Company Ltd</v>
      </c>
      <c r="D6" s="1128"/>
      <c r="E6" s="1128"/>
      <c r="F6" s="1128"/>
      <c r="G6" s="1128"/>
      <c r="H6" s="1128"/>
      <c r="I6" s="1128"/>
      <c r="J6" s="1128"/>
      <c r="K6" s="1128"/>
      <c r="L6" s="1129"/>
      <c r="M6" s="1128"/>
      <c r="N6" s="1128"/>
      <c r="O6" s="1128"/>
    </row>
    <row r="7" spans="1:15" ht="13.5">
      <c r="A7" s="737" t="s">
        <v>1105</v>
      </c>
      <c r="B7" s="1128"/>
      <c r="C7" s="1128" t="str">
        <f>'[6]Form 18 HFO'!C7</f>
        <v>Singareni Thermal Power Project</v>
      </c>
      <c r="D7" s="1128"/>
      <c r="E7" s="1128"/>
      <c r="F7" s="1128"/>
      <c r="G7" s="1128"/>
      <c r="H7" s="1128"/>
      <c r="I7" s="1128"/>
      <c r="J7" s="1128"/>
      <c r="K7" s="1128"/>
      <c r="L7" s="1129"/>
      <c r="M7" s="1128"/>
      <c r="N7" s="1128"/>
      <c r="O7" s="1128"/>
    </row>
    <row r="8" spans="1:15">
      <c r="A8" s="290"/>
      <c r="B8" s="53"/>
      <c r="C8" s="53"/>
      <c r="D8" s="53"/>
      <c r="E8" s="53"/>
      <c r="F8" s="53"/>
      <c r="G8" s="53"/>
      <c r="H8" s="53"/>
      <c r="I8" s="53"/>
      <c r="J8" s="53"/>
      <c r="K8" s="53"/>
      <c r="L8" s="292"/>
      <c r="M8" s="53"/>
      <c r="N8" s="53"/>
      <c r="O8" s="53"/>
    </row>
    <row r="9" spans="1:15" ht="36.75" customHeight="1">
      <c r="A9" s="1756" t="s">
        <v>417</v>
      </c>
      <c r="B9" s="1759" t="s">
        <v>592</v>
      </c>
      <c r="C9" s="1773" t="s">
        <v>392</v>
      </c>
      <c r="D9" s="1776" t="s">
        <v>1004</v>
      </c>
      <c r="E9" s="1776"/>
      <c r="F9" s="1776"/>
      <c r="G9" s="1777" t="s">
        <v>1003</v>
      </c>
      <c r="H9" s="1778"/>
      <c r="I9" s="1779"/>
      <c r="J9" s="1777" t="s">
        <v>1002</v>
      </c>
      <c r="K9" s="1778"/>
      <c r="L9" s="1780"/>
    </row>
    <row r="10" spans="1:15" ht="18" customHeight="1">
      <c r="A10" s="1757"/>
      <c r="B10" s="1760"/>
      <c r="C10" s="1774"/>
      <c r="D10" s="1781">
        <v>43466</v>
      </c>
      <c r="E10" s="1782"/>
      <c r="F10" s="1783"/>
      <c r="G10" s="1781">
        <v>43497</v>
      </c>
      <c r="H10" s="1782"/>
      <c r="I10" s="1783"/>
      <c r="J10" s="1781">
        <v>43525</v>
      </c>
      <c r="K10" s="1782"/>
      <c r="L10" s="1783"/>
    </row>
    <row r="11" spans="1:15" ht="15" customHeight="1">
      <c r="A11" s="1757"/>
      <c r="B11" s="1760"/>
      <c r="C11" s="1774"/>
      <c r="D11" s="1775"/>
      <c r="E11" s="1784"/>
      <c r="F11" s="1785"/>
      <c r="G11" s="1775"/>
      <c r="H11" s="1784"/>
      <c r="I11" s="1785"/>
      <c r="J11" s="1775"/>
      <c r="K11" s="1784"/>
      <c r="L11" s="1785"/>
    </row>
    <row r="12" spans="1:15" ht="21" customHeight="1">
      <c r="A12" s="1758"/>
      <c r="B12" s="1761"/>
      <c r="C12" s="1775"/>
      <c r="D12" s="1173" t="s">
        <v>1255</v>
      </c>
      <c r="E12" s="1173" t="s">
        <v>1256</v>
      </c>
      <c r="F12" s="1131" t="s">
        <v>348</v>
      </c>
      <c r="G12" s="1173" t="s">
        <v>1255</v>
      </c>
      <c r="H12" s="1173" t="s">
        <v>1256</v>
      </c>
      <c r="I12" s="1131" t="s">
        <v>348</v>
      </c>
      <c r="J12" s="1173" t="s">
        <v>1255</v>
      </c>
      <c r="K12" s="1173" t="s">
        <v>1256</v>
      </c>
      <c r="L12" s="1132" t="s">
        <v>348</v>
      </c>
    </row>
    <row r="13" spans="1:15" ht="28.35" customHeight="1">
      <c r="A13" s="1133">
        <v>1</v>
      </c>
      <c r="B13" s="1174" t="s">
        <v>350</v>
      </c>
      <c r="C13" s="1135" t="s">
        <v>1257</v>
      </c>
      <c r="D13" s="1175">
        <v>43954.97</v>
      </c>
      <c r="E13" s="1176">
        <v>369786.74</v>
      </c>
      <c r="F13" s="1175">
        <v>413741.70999999996</v>
      </c>
      <c r="G13" s="1175">
        <v>601.63</v>
      </c>
      <c r="H13" s="1176">
        <v>421030.04</v>
      </c>
      <c r="I13" s="1175">
        <f>+G13+H13</f>
        <v>421631.67</v>
      </c>
      <c r="J13" s="1175">
        <v>0</v>
      </c>
      <c r="K13" s="1176">
        <v>473682.32</v>
      </c>
      <c r="L13" s="1177">
        <f>+J13+K13</f>
        <v>473682.32</v>
      </c>
    </row>
    <row r="14" spans="1:15" ht="30.95" customHeight="1">
      <c r="A14" s="1133">
        <v>2</v>
      </c>
      <c r="B14" s="1174" t="s">
        <v>1054</v>
      </c>
      <c r="C14" s="1135" t="s">
        <v>1257</v>
      </c>
      <c r="D14" s="1178">
        <v>0</v>
      </c>
      <c r="E14" s="1178">
        <v>0</v>
      </c>
      <c r="F14" s="1178">
        <f>+D14+E14</f>
        <v>0</v>
      </c>
      <c r="G14" s="1178">
        <v>0</v>
      </c>
      <c r="H14" s="1178">
        <v>0</v>
      </c>
      <c r="I14" s="1178">
        <f>+G14+H14</f>
        <v>0</v>
      </c>
      <c r="J14" s="1178">
        <v>0</v>
      </c>
      <c r="K14" s="1178">
        <v>0</v>
      </c>
      <c r="L14" s="1179">
        <f>+J14+K14</f>
        <v>0</v>
      </c>
    </row>
    <row r="15" spans="1:15" ht="24.75" customHeight="1">
      <c r="A15" s="1133">
        <v>3</v>
      </c>
      <c r="B15" s="1174" t="s">
        <v>356</v>
      </c>
      <c r="C15" s="1135" t="s">
        <v>1257</v>
      </c>
      <c r="D15" s="1178">
        <f t="shared" ref="D15:L15" si="0">D13+D14</f>
        <v>43954.97</v>
      </c>
      <c r="E15" s="1178">
        <f t="shared" si="0"/>
        <v>369786.74</v>
      </c>
      <c r="F15" s="1178">
        <f t="shared" si="0"/>
        <v>413741.70999999996</v>
      </c>
      <c r="G15" s="1178">
        <f t="shared" si="0"/>
        <v>601.63</v>
      </c>
      <c r="H15" s="1178">
        <f t="shared" si="0"/>
        <v>421030.04</v>
      </c>
      <c r="I15" s="1178">
        <f t="shared" si="0"/>
        <v>421631.67</v>
      </c>
      <c r="J15" s="1178">
        <f t="shared" si="0"/>
        <v>0</v>
      </c>
      <c r="K15" s="1178">
        <f t="shared" si="0"/>
        <v>473682.32</v>
      </c>
      <c r="L15" s="1179">
        <f t="shared" si="0"/>
        <v>473682.32</v>
      </c>
    </row>
    <row r="16" spans="1:15" ht="30" customHeight="1">
      <c r="A16" s="1133">
        <v>4</v>
      </c>
      <c r="B16" s="1174" t="s">
        <v>1055</v>
      </c>
      <c r="C16" s="1135" t="s">
        <v>1257</v>
      </c>
      <c r="D16" s="1178">
        <f t="shared" ref="D16:L16" si="1">D15*0.8%</f>
        <v>351.63976000000002</v>
      </c>
      <c r="E16" s="1178">
        <f t="shared" si="1"/>
        <v>2958.2939200000001</v>
      </c>
      <c r="F16" s="1178">
        <f t="shared" si="1"/>
        <v>3309.9336799999996</v>
      </c>
      <c r="G16" s="1178">
        <f t="shared" si="1"/>
        <v>4.81304</v>
      </c>
      <c r="H16" s="1178">
        <f t="shared" si="1"/>
        <v>3368.2403199999999</v>
      </c>
      <c r="I16" s="1178">
        <f t="shared" si="1"/>
        <v>3373.0533599999999</v>
      </c>
      <c r="J16" s="1178">
        <f t="shared" si="1"/>
        <v>0</v>
      </c>
      <c r="K16" s="1178">
        <f t="shared" si="1"/>
        <v>3789.45856</v>
      </c>
      <c r="L16" s="1179">
        <f t="shared" si="1"/>
        <v>3789.45856</v>
      </c>
    </row>
    <row r="17" spans="1:18" ht="13.5" customHeight="1">
      <c r="A17" s="1133">
        <v>5</v>
      </c>
      <c r="B17" s="1174" t="s">
        <v>291</v>
      </c>
      <c r="C17" s="1135" t="s">
        <v>1257</v>
      </c>
      <c r="D17" s="1178">
        <f>D15-D16</f>
        <v>43603.330240000003</v>
      </c>
      <c r="E17" s="1178">
        <f t="shared" ref="E17:F17" si="2">E15-E16</f>
        <v>366828.44607999997</v>
      </c>
      <c r="F17" s="1178">
        <f t="shared" si="2"/>
        <v>410431.77631999995</v>
      </c>
      <c r="G17" s="1178">
        <f>G15-G16</f>
        <v>596.81695999999999</v>
      </c>
      <c r="H17" s="1178">
        <f t="shared" ref="H17:I17" si="3">H15-H16</f>
        <v>417661.79968</v>
      </c>
      <c r="I17" s="1178">
        <f t="shared" si="3"/>
        <v>418258.61663999996</v>
      </c>
      <c r="J17" s="1178">
        <f>J15-J16</f>
        <v>0</v>
      </c>
      <c r="K17" s="1178">
        <f t="shared" ref="K17:L17" si="4">K15-K16</f>
        <v>469892.86144000001</v>
      </c>
      <c r="L17" s="1179">
        <f t="shared" si="4"/>
        <v>469892.86144000001</v>
      </c>
    </row>
    <row r="18" spans="1:18" ht="23.45" customHeight="1">
      <c r="A18" s="1133">
        <v>6</v>
      </c>
      <c r="B18" s="1174" t="s">
        <v>292</v>
      </c>
      <c r="C18" s="1135" t="s">
        <v>293</v>
      </c>
      <c r="D18" s="1180">
        <v>200946694.14999998</v>
      </c>
      <c r="E18" s="1180">
        <v>1360479411.6400001</v>
      </c>
      <c r="F18" s="1180">
        <v>1561426105.79</v>
      </c>
      <c r="G18" s="1180">
        <v>-609984.99</v>
      </c>
      <c r="H18" s="1180">
        <v>1463576807.2</v>
      </c>
      <c r="I18" s="1180">
        <v>1561293628.21</v>
      </c>
      <c r="J18" s="1180">
        <v>0</v>
      </c>
      <c r="K18" s="1180">
        <v>1661858079</v>
      </c>
      <c r="L18" s="1181">
        <f>+J18+K18</f>
        <v>1661858079</v>
      </c>
    </row>
    <row r="19" spans="1:18" ht="26.1" customHeight="1">
      <c r="A19" s="1133">
        <v>7</v>
      </c>
      <c r="B19" s="1174" t="s">
        <v>294</v>
      </c>
      <c r="C19" s="1135" t="s">
        <v>293</v>
      </c>
      <c r="D19" s="1178">
        <v>0</v>
      </c>
      <c r="E19" s="1178">
        <v>0</v>
      </c>
      <c r="F19" s="1178">
        <v>0</v>
      </c>
      <c r="G19" s="1178">
        <v>0</v>
      </c>
      <c r="H19" s="1178">
        <v>0</v>
      </c>
      <c r="I19" s="1178">
        <v>0</v>
      </c>
      <c r="J19" s="1178">
        <v>0</v>
      </c>
      <c r="K19" s="1178">
        <v>0</v>
      </c>
      <c r="L19" s="1179">
        <v>0</v>
      </c>
    </row>
    <row r="20" spans="1:18" ht="20.25" customHeight="1">
      <c r="A20" s="1133">
        <v>8</v>
      </c>
      <c r="B20" s="1174" t="s">
        <v>364</v>
      </c>
      <c r="C20" s="1135" t="s">
        <v>362</v>
      </c>
      <c r="D20" s="1182">
        <f t="shared" ref="D20:E20" si="5">D18+D19</f>
        <v>200946694.14999998</v>
      </c>
      <c r="E20" s="1182">
        <f t="shared" si="5"/>
        <v>1360479411.6400001</v>
      </c>
      <c r="F20" s="1182">
        <f>F18+F19</f>
        <v>1561426105.79</v>
      </c>
      <c r="G20" s="1182">
        <f t="shared" ref="G20:H20" si="6">G18+G19</f>
        <v>-609984.99</v>
      </c>
      <c r="H20" s="1182">
        <f t="shared" si="6"/>
        <v>1463576807.2</v>
      </c>
      <c r="I20" s="1182">
        <f>I18+I19</f>
        <v>1561293628.21</v>
      </c>
      <c r="J20" s="1182">
        <f t="shared" ref="J20:K20" si="7">J18+J19</f>
        <v>0</v>
      </c>
      <c r="K20" s="1182">
        <f t="shared" si="7"/>
        <v>1661858079</v>
      </c>
      <c r="L20" s="1183">
        <f>L18+L19</f>
        <v>1661858079</v>
      </c>
    </row>
    <row r="21" spans="1:18" ht="23.45" customHeight="1">
      <c r="A21" s="1133">
        <v>9</v>
      </c>
      <c r="B21" s="1174" t="s">
        <v>365</v>
      </c>
      <c r="C21" s="1135" t="s">
        <v>296</v>
      </c>
      <c r="D21" s="1180">
        <v>3726703</v>
      </c>
      <c r="E21" s="1180">
        <v>26670694</v>
      </c>
      <c r="F21" s="1180">
        <v>30397397</v>
      </c>
      <c r="G21" s="1180">
        <v>38986</v>
      </c>
      <c r="H21" s="1180">
        <v>30592419</v>
      </c>
      <c r="I21" s="1180">
        <v>30631405</v>
      </c>
      <c r="J21" s="1180">
        <v>0</v>
      </c>
      <c r="K21" s="1180">
        <v>46985970</v>
      </c>
      <c r="L21" s="1181">
        <f>+J21+K21</f>
        <v>46985970</v>
      </c>
    </row>
    <row r="22" spans="1:18" ht="23.45" customHeight="1">
      <c r="A22" s="1133">
        <v>10</v>
      </c>
      <c r="B22" s="1174" t="s">
        <v>297</v>
      </c>
      <c r="C22" s="1135" t="s">
        <v>296</v>
      </c>
      <c r="D22" s="1178">
        <v>0</v>
      </c>
      <c r="E22" s="1178">
        <v>0</v>
      </c>
      <c r="F22" s="1178">
        <f>+D22+E22</f>
        <v>0</v>
      </c>
      <c r="G22" s="1178">
        <v>0</v>
      </c>
      <c r="H22" s="1178">
        <v>0</v>
      </c>
      <c r="I22" s="1178">
        <f>+G22+H22</f>
        <v>0</v>
      </c>
      <c r="J22" s="1178">
        <v>0</v>
      </c>
      <c r="K22" s="1178">
        <v>0</v>
      </c>
      <c r="L22" s="1179">
        <f>+J22+K22</f>
        <v>0</v>
      </c>
    </row>
    <row r="23" spans="1:18" ht="17.850000000000001" customHeight="1">
      <c r="A23" s="1133">
        <v>11</v>
      </c>
      <c r="B23" s="1174" t="s">
        <v>298</v>
      </c>
      <c r="C23" s="1135" t="s">
        <v>296</v>
      </c>
      <c r="D23" s="1178">
        <v>0</v>
      </c>
      <c r="E23" s="1180">
        <v>35911</v>
      </c>
      <c r="F23" s="1180">
        <f>+D23+E23</f>
        <v>35911</v>
      </c>
      <c r="G23" s="1178">
        <v>0</v>
      </c>
      <c r="H23" s="1180"/>
      <c r="I23" s="1180">
        <f>+G23+H23</f>
        <v>0</v>
      </c>
      <c r="J23" s="1178">
        <v>0</v>
      </c>
      <c r="K23" s="1180">
        <v>8977</v>
      </c>
      <c r="L23" s="1181">
        <f>+J23+K23</f>
        <v>8977</v>
      </c>
    </row>
    <row r="24" spans="1:18" ht="25.35" customHeight="1">
      <c r="A24" s="1133">
        <v>12</v>
      </c>
      <c r="B24" s="1174" t="s">
        <v>299</v>
      </c>
      <c r="C24" s="1135" t="s">
        <v>296</v>
      </c>
      <c r="D24" s="1178">
        <v>0</v>
      </c>
      <c r="E24" s="1178">
        <v>0</v>
      </c>
      <c r="F24" s="1178">
        <f>+D24+E24</f>
        <v>0</v>
      </c>
      <c r="G24" s="1178">
        <v>0</v>
      </c>
      <c r="H24" s="1178">
        <v>0</v>
      </c>
      <c r="I24" s="1178">
        <f>+G24+H24</f>
        <v>0</v>
      </c>
      <c r="J24" s="1178">
        <v>0</v>
      </c>
      <c r="K24" s="1178">
        <v>0</v>
      </c>
      <c r="L24" s="1179">
        <f>+J24+K24</f>
        <v>0</v>
      </c>
    </row>
    <row r="25" spans="1:18" ht="24.2" customHeight="1">
      <c r="A25" s="1133">
        <v>13</v>
      </c>
      <c r="B25" s="1174" t="s">
        <v>1056</v>
      </c>
      <c r="C25" s="1135" t="s">
        <v>296</v>
      </c>
      <c r="D25" s="1180">
        <f t="shared" ref="D25" si="8">D21+D22-D23+D24</f>
        <v>3726703</v>
      </c>
      <c r="E25" s="1180">
        <f>E21+E22-E23+E24</f>
        <v>26634783</v>
      </c>
      <c r="F25" s="1180">
        <f t="shared" ref="F25:G25" si="9">F21+F22-F23+F24</f>
        <v>30361486</v>
      </c>
      <c r="G25" s="1180">
        <f t="shared" si="9"/>
        <v>38986</v>
      </c>
      <c r="H25" s="1180">
        <f>H21+H22-H23+H24</f>
        <v>30592419</v>
      </c>
      <c r="I25" s="1180">
        <f t="shared" ref="I25:J25" si="10">I21+I22-I23+I24</f>
        <v>30631405</v>
      </c>
      <c r="J25" s="1180">
        <f t="shared" si="10"/>
        <v>0</v>
      </c>
      <c r="K25" s="1180">
        <f>K21+K22-K23+K24</f>
        <v>46976993</v>
      </c>
      <c r="L25" s="1181">
        <f t="shared" ref="L25" si="11">L21+L22-L23+L24</f>
        <v>46976993</v>
      </c>
    </row>
    <row r="26" spans="1:18" ht="27" customHeight="1">
      <c r="A26" s="1133">
        <v>14</v>
      </c>
      <c r="B26" s="1174" t="s">
        <v>301</v>
      </c>
      <c r="C26" s="1135" t="s">
        <v>296</v>
      </c>
      <c r="D26" s="1180">
        <f t="shared" ref="D26:L26" si="12">D20+D25</f>
        <v>204673397.14999998</v>
      </c>
      <c r="E26" s="1180">
        <f t="shared" si="12"/>
        <v>1387114194.6400001</v>
      </c>
      <c r="F26" s="1180">
        <f t="shared" si="12"/>
        <v>1591787591.79</v>
      </c>
      <c r="G26" s="1180">
        <f t="shared" si="12"/>
        <v>-570998.99</v>
      </c>
      <c r="H26" s="1180">
        <f t="shared" si="12"/>
        <v>1494169226.2</v>
      </c>
      <c r="I26" s="1180">
        <f t="shared" si="12"/>
        <v>1591925033.21</v>
      </c>
      <c r="J26" s="1180">
        <f t="shared" si="12"/>
        <v>0</v>
      </c>
      <c r="K26" s="1180">
        <f t="shared" si="12"/>
        <v>1708835072</v>
      </c>
      <c r="L26" s="1181">
        <f t="shared" si="12"/>
        <v>1708835072</v>
      </c>
    </row>
    <row r="27" spans="1:18" ht="24.2" customHeight="1">
      <c r="A27" s="1133">
        <v>15</v>
      </c>
      <c r="B27" s="1174" t="s">
        <v>1398</v>
      </c>
      <c r="C27" s="1135" t="s">
        <v>589</v>
      </c>
      <c r="D27" s="1184"/>
      <c r="E27" s="1184"/>
      <c r="F27" s="1185">
        <v>3892</v>
      </c>
      <c r="G27" s="1184"/>
      <c r="H27" s="1184"/>
      <c r="I27" s="1185">
        <v>3859</v>
      </c>
      <c r="J27" s="1184"/>
      <c r="K27" s="1184"/>
      <c r="L27" s="1186">
        <v>3850</v>
      </c>
    </row>
    <row r="28" spans="1:18" ht="24.2" customHeight="1">
      <c r="A28" s="1187">
        <v>16</v>
      </c>
      <c r="B28" s="1188" t="s">
        <v>587</v>
      </c>
      <c r="C28" s="1131" t="s">
        <v>588</v>
      </c>
      <c r="D28" s="1189">
        <f t="shared" ref="D28:L28" si="13">D26/D17</f>
        <v>4693.9854369710629</v>
      </c>
      <c r="E28" s="1189">
        <f t="shared" si="13"/>
        <v>3781.370309372056</v>
      </c>
      <c r="F28" s="1189">
        <f t="shared" si="13"/>
        <v>3878.3244466650076</v>
      </c>
      <c r="G28" s="1189">
        <f t="shared" si="13"/>
        <v>-956.74055576436706</v>
      </c>
      <c r="H28" s="1189">
        <f t="shared" si="13"/>
        <v>3577.4620215322252</v>
      </c>
      <c r="I28" s="1189">
        <f t="shared" si="13"/>
        <v>3806.0782728122213</v>
      </c>
      <c r="J28" s="1459" t="s">
        <v>593</v>
      </c>
      <c r="K28" s="1189">
        <f t="shared" si="13"/>
        <v>3636.6482920451831</v>
      </c>
      <c r="L28" s="1190">
        <f t="shared" si="13"/>
        <v>3636.6482920451831</v>
      </c>
      <c r="O28" s="1127" t="s">
        <v>590</v>
      </c>
      <c r="R28" s="1192">
        <f>(F26+I26+L26)/(F17+I17+L17)</f>
        <v>3767.6041797262837</v>
      </c>
    </row>
    <row r="29" spans="1:18" ht="41.25" customHeight="1">
      <c r="A29" s="1745"/>
      <c r="B29" s="1747"/>
      <c r="C29" s="1748"/>
      <c r="D29" s="1748"/>
      <c r="E29" s="1748"/>
      <c r="F29" s="1748"/>
      <c r="G29" s="1748"/>
      <c r="H29" s="1748"/>
      <c r="I29" s="1748"/>
      <c r="J29" s="1748"/>
      <c r="K29" s="1748"/>
      <c r="L29" s="1749"/>
      <c r="O29" s="1127" t="s">
        <v>591</v>
      </c>
      <c r="R29" s="1193">
        <f>(F27*F17+I27*I17+L27*L17)/(F17+I17+L17)</f>
        <v>3866.1733659232373</v>
      </c>
    </row>
    <row r="30" spans="1:18" ht="19.899999999999999" customHeight="1">
      <c r="A30" s="1745"/>
      <c r="B30" s="1748" t="s">
        <v>1397</v>
      </c>
      <c r="C30" s="1748"/>
      <c r="D30" s="1748"/>
      <c r="E30" s="1748"/>
      <c r="F30" s="1748"/>
      <c r="G30" s="1748"/>
      <c r="H30" s="1748"/>
      <c r="I30" s="1748"/>
      <c r="J30" s="1748"/>
      <c r="K30" s="1748"/>
      <c r="L30" s="1749"/>
    </row>
    <row r="31" spans="1:18" ht="39.75" customHeight="1" thickBot="1">
      <c r="A31" s="1746"/>
      <c r="B31" s="1750"/>
      <c r="C31" s="1750"/>
      <c r="D31" s="1155"/>
      <c r="E31" s="1155"/>
      <c r="F31" s="1155"/>
      <c r="G31" s="1155"/>
      <c r="H31" s="1155"/>
      <c r="I31" s="1155"/>
      <c r="J31" s="1155"/>
      <c r="K31" s="1155"/>
      <c r="L31" s="1191"/>
    </row>
  </sheetData>
  <mergeCells count="14">
    <mergeCell ref="A29:A31"/>
    <mergeCell ref="B29:L29"/>
    <mergeCell ref="B30:L30"/>
    <mergeCell ref="B31:C31"/>
    <mergeCell ref="A4:L4"/>
    <mergeCell ref="A9:A12"/>
    <mergeCell ref="B9:B12"/>
    <mergeCell ref="C9:C12"/>
    <mergeCell ref="D9:F9"/>
    <mergeCell ref="G9:I9"/>
    <mergeCell ref="J9:L9"/>
    <mergeCell ref="D10:F11"/>
    <mergeCell ref="G10:I11"/>
    <mergeCell ref="J10:L11"/>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sheetPr>
    <tabColor rgb="FF00B050"/>
  </sheetPr>
  <dimension ref="A1:O29"/>
  <sheetViews>
    <sheetView workbookViewId="0">
      <selection activeCell="F16" sqref="F16"/>
    </sheetView>
  </sheetViews>
  <sheetFormatPr defaultColWidth="9.1640625" defaultRowHeight="18.75"/>
  <cols>
    <col min="1" max="1" width="23" style="1253" customWidth="1"/>
    <col min="2" max="3" width="15.5" style="1253" customWidth="1"/>
    <col min="4" max="4" width="18.5" style="1253" customWidth="1"/>
    <col min="5" max="5" width="17.6640625" style="1253" customWidth="1"/>
    <col min="6" max="6" width="17" style="1253" customWidth="1"/>
    <col min="7" max="16384" width="9.1640625" style="1253"/>
  </cols>
  <sheetData>
    <row r="1" spans="1:15">
      <c r="A1" s="1473" t="s">
        <v>1381</v>
      </c>
      <c r="B1" s="1474"/>
      <c r="C1" s="1474"/>
      <c r="D1" s="1474"/>
      <c r="E1" s="1474"/>
      <c r="F1" s="1475"/>
      <c r="G1" s="1252"/>
      <c r="H1" s="1252"/>
      <c r="I1" s="1252"/>
      <c r="J1" s="1252"/>
      <c r="K1" s="1252"/>
      <c r="L1" s="1252"/>
      <c r="M1" s="1252"/>
      <c r="N1" s="1252"/>
      <c r="O1" s="1252"/>
    </row>
    <row r="2" spans="1:15" ht="54" customHeight="1">
      <c r="A2" s="1476"/>
      <c r="B2" s="1477"/>
      <c r="C2" s="1477"/>
      <c r="D2" s="1477"/>
      <c r="E2" s="1477"/>
      <c r="F2" s="1478"/>
      <c r="G2" s="1252"/>
      <c r="H2" s="1252"/>
      <c r="I2" s="1252"/>
      <c r="J2" s="1252"/>
      <c r="K2" s="1252"/>
      <c r="L2" s="1252"/>
      <c r="M2" s="1252"/>
      <c r="N2" s="1252"/>
      <c r="O2" s="1252"/>
    </row>
    <row r="3" spans="1:15" ht="18" customHeight="1">
      <c r="A3" s="1418"/>
      <c r="B3" s="1419"/>
      <c r="C3" s="1419"/>
      <c r="D3" s="1419"/>
      <c r="E3" s="1419"/>
      <c r="F3" s="1420"/>
      <c r="G3" s="1252"/>
      <c r="H3" s="1252"/>
      <c r="I3" s="1252"/>
      <c r="J3" s="1252"/>
      <c r="K3" s="1252"/>
      <c r="L3" s="1252"/>
      <c r="M3" s="1252"/>
      <c r="N3" s="1252"/>
      <c r="O3" s="1252"/>
    </row>
    <row r="4" spans="1:15" ht="30.75" customHeight="1">
      <c r="A4" s="1421" t="s">
        <v>1104</v>
      </c>
      <c r="B4" s="1422"/>
      <c r="C4" s="1422" t="s">
        <v>996</v>
      </c>
      <c r="D4" s="1416"/>
      <c r="E4" s="1416"/>
      <c r="F4" s="1423"/>
      <c r="G4" s="1252"/>
      <c r="H4" s="1252"/>
      <c r="I4" s="1252"/>
      <c r="J4" s="1252"/>
      <c r="K4" s="1252"/>
      <c r="L4" s="1252"/>
      <c r="M4" s="1252"/>
      <c r="N4" s="1252"/>
      <c r="O4" s="1252"/>
    </row>
    <row r="5" spans="1:15" ht="30.75" customHeight="1">
      <c r="A5" s="1421" t="s">
        <v>1105</v>
      </c>
      <c r="B5" s="1422"/>
      <c r="C5" s="1422" t="s">
        <v>461</v>
      </c>
      <c r="D5" s="1416"/>
      <c r="E5" s="1416"/>
      <c r="F5" s="1423"/>
      <c r="G5" s="1252"/>
      <c r="H5" s="1252"/>
      <c r="I5" s="1252"/>
      <c r="J5" s="1252"/>
      <c r="K5" s="1252"/>
      <c r="L5" s="1252"/>
      <c r="M5" s="1252"/>
      <c r="N5" s="1252"/>
      <c r="O5" s="1252"/>
    </row>
    <row r="6" spans="1:15" ht="30.75" customHeight="1">
      <c r="A6" s="1424"/>
      <c r="B6" s="1416"/>
      <c r="C6" s="1416"/>
      <c r="D6" s="1416"/>
      <c r="E6" s="1416"/>
      <c r="F6" s="1423"/>
      <c r="G6" s="1252"/>
      <c r="H6" s="1252"/>
      <c r="I6" s="1252"/>
      <c r="J6" s="1252"/>
      <c r="K6" s="1252"/>
      <c r="L6" s="1252"/>
      <c r="M6" s="1252"/>
      <c r="N6" s="1252"/>
      <c r="O6" s="1252"/>
    </row>
    <row r="7" spans="1:15" ht="21.75" customHeight="1">
      <c r="A7" s="1424"/>
      <c r="B7" s="1416"/>
      <c r="C7" s="1416"/>
      <c r="D7" s="1416"/>
      <c r="E7" s="1416"/>
      <c r="F7" s="1425" t="s">
        <v>1284</v>
      </c>
      <c r="G7" s="1252"/>
      <c r="H7" s="1252"/>
      <c r="I7" s="1252"/>
      <c r="J7" s="1252"/>
      <c r="K7" s="1252"/>
      <c r="L7" s="1252"/>
      <c r="M7" s="1252"/>
      <c r="N7" s="1252"/>
      <c r="O7" s="1252"/>
    </row>
    <row r="8" spans="1:15">
      <c r="A8" s="1479"/>
      <c r="B8" s="1480" t="s">
        <v>1378</v>
      </c>
      <c r="C8" s="1480"/>
      <c r="D8" s="1480"/>
      <c r="E8" s="1480"/>
      <c r="F8" s="1481"/>
      <c r="G8" s="1252"/>
      <c r="H8" s="1252"/>
      <c r="I8" s="1252"/>
      <c r="J8" s="1252"/>
      <c r="K8" s="1252"/>
      <c r="L8" s="1252"/>
      <c r="M8" s="1252"/>
      <c r="N8" s="1252"/>
      <c r="O8" s="1252"/>
    </row>
    <row r="9" spans="1:15">
      <c r="A9" s="1479"/>
      <c r="B9" s="1480"/>
      <c r="C9" s="1480"/>
      <c r="D9" s="1480"/>
      <c r="E9" s="1480"/>
      <c r="F9" s="1481"/>
      <c r="G9" s="1252"/>
      <c r="H9" s="1252"/>
      <c r="I9" s="1252"/>
      <c r="J9" s="1252"/>
      <c r="K9" s="1252"/>
      <c r="L9" s="1252"/>
      <c r="M9" s="1252"/>
      <c r="N9" s="1252"/>
      <c r="O9" s="1252"/>
    </row>
    <row r="10" spans="1:15" ht="18.75" customHeight="1">
      <c r="A10" s="1479"/>
      <c r="B10" s="1254" t="s">
        <v>1285</v>
      </c>
      <c r="C10" s="1254" t="s">
        <v>1286</v>
      </c>
      <c r="D10" s="1254" t="s">
        <v>1287</v>
      </c>
      <c r="E10" s="1254" t="s">
        <v>1288</v>
      </c>
      <c r="F10" s="1426" t="s">
        <v>1289</v>
      </c>
      <c r="G10" s="1252"/>
      <c r="H10" s="1252"/>
      <c r="I10" s="1252"/>
      <c r="J10" s="1252"/>
      <c r="K10" s="1252"/>
      <c r="L10" s="1252"/>
      <c r="M10" s="1252"/>
      <c r="N10" s="1252"/>
      <c r="O10" s="1252"/>
    </row>
    <row r="11" spans="1:15" ht="18.75" customHeight="1">
      <c r="A11" s="1479"/>
      <c r="B11" s="1482" t="s">
        <v>1026</v>
      </c>
      <c r="C11" s="1482" t="s">
        <v>1027</v>
      </c>
      <c r="D11" s="1482" t="s">
        <v>1028</v>
      </c>
      <c r="E11" s="1482" t="s">
        <v>1029</v>
      </c>
      <c r="F11" s="1484" t="s">
        <v>1030</v>
      </c>
      <c r="G11" s="1252"/>
      <c r="H11" s="1252"/>
      <c r="I11" s="1252"/>
      <c r="J11" s="1252"/>
      <c r="K11" s="1252"/>
      <c r="L11" s="1252"/>
      <c r="M11" s="1252"/>
      <c r="N11" s="1252"/>
      <c r="O11" s="1252"/>
    </row>
    <row r="12" spans="1:15" ht="18.75" customHeight="1">
      <c r="A12" s="1479"/>
      <c r="B12" s="1483"/>
      <c r="C12" s="1483"/>
      <c r="D12" s="1483"/>
      <c r="E12" s="1483"/>
      <c r="F12" s="1485"/>
      <c r="G12" s="1252"/>
      <c r="H12" s="1252"/>
      <c r="I12" s="1252"/>
      <c r="J12" s="1252"/>
      <c r="K12" s="1252"/>
      <c r="L12" s="1252"/>
      <c r="M12" s="1252"/>
      <c r="N12" s="1252"/>
      <c r="O12" s="1252"/>
    </row>
    <row r="13" spans="1:15" ht="37.15" customHeight="1">
      <c r="A13" s="1286" t="s">
        <v>1379</v>
      </c>
      <c r="B13" s="1442">
        <v>151492</v>
      </c>
      <c r="C13" s="1412">
        <v>151492</v>
      </c>
      <c r="D13" s="1412">
        <v>151492</v>
      </c>
      <c r="E13" s="1412">
        <v>151492</v>
      </c>
      <c r="F13" s="1427">
        <v>151492</v>
      </c>
      <c r="G13" s="1252"/>
      <c r="H13" s="1252"/>
      <c r="I13" s="1252"/>
      <c r="J13" s="1252"/>
      <c r="K13" s="1252"/>
      <c r="L13" s="1252"/>
      <c r="M13" s="1252"/>
      <c r="N13" s="1252"/>
      <c r="O13" s="1252"/>
    </row>
    <row r="14" spans="1:15" ht="43.15" customHeight="1">
      <c r="A14" s="1286" t="s">
        <v>1394</v>
      </c>
      <c r="B14" s="1443">
        <f>'FUEL COST'!F16</f>
        <v>257531.24019795554</v>
      </c>
      <c r="C14" s="1413">
        <f>'FUEL COST'!$F$14*'FUEL COST'!G13/10*100</f>
        <v>256827.60292965514</v>
      </c>
      <c r="D14" s="1413">
        <f>'FUEL COST'!$F$14*'FUEL COST'!H13/10*100</f>
        <v>255910.28549293178</v>
      </c>
      <c r="E14" s="1413">
        <f>'FUEL COST'!$F$14*'FUEL COST'!I13/10*100</f>
        <v>252685.22223724131</v>
      </c>
      <c r="F14" s="1413">
        <f>'FUEL COST'!$F$14*'FUEL COST'!J13/10*100</f>
        <v>253377.51051734341</v>
      </c>
      <c r="G14" s="1252"/>
      <c r="H14" s="1252"/>
      <c r="I14" s="1252"/>
      <c r="J14" s="1252"/>
      <c r="K14" s="1252"/>
      <c r="L14" s="1252"/>
      <c r="M14" s="1252"/>
      <c r="N14" s="1252"/>
      <c r="O14" s="1252"/>
    </row>
    <row r="15" spans="1:15" ht="56.25">
      <c r="A15" s="1287" t="s">
        <v>1290</v>
      </c>
      <c r="B15" s="1444">
        <f>SUM(B13:B14)</f>
        <v>409023.24019795551</v>
      </c>
      <c r="C15" s="1414">
        <f t="shared" ref="C15:F15" si="0">SUM(C13:C14)</f>
        <v>408319.60292965511</v>
      </c>
      <c r="D15" s="1414">
        <f t="shared" si="0"/>
        <v>407402.28549293178</v>
      </c>
      <c r="E15" s="1414">
        <f t="shared" si="0"/>
        <v>404177.22223724134</v>
      </c>
      <c r="F15" s="1428">
        <f t="shared" si="0"/>
        <v>404869.51051734341</v>
      </c>
      <c r="G15" s="1252"/>
      <c r="H15" s="1252"/>
      <c r="I15" s="1252"/>
      <c r="J15" s="1252"/>
      <c r="K15" s="1252"/>
      <c r="L15" s="1252"/>
      <c r="M15" s="1252"/>
      <c r="N15" s="1252"/>
      <c r="O15" s="1252"/>
    </row>
    <row r="16" spans="1:15" ht="75">
      <c r="A16" s="1287" t="s">
        <v>1291</v>
      </c>
      <c r="B16" s="1445">
        <f ca="1">ARR!C52</f>
        <v>438499.52606936177</v>
      </c>
      <c r="C16" s="1411">
        <f ca="1">ARR!D52</f>
        <v>465383.96403038636</v>
      </c>
      <c r="D16" s="1411">
        <f ca="1">ARR!E52</f>
        <v>501243.88494455529</v>
      </c>
      <c r="E16" s="1411">
        <f ca="1">ARR!F52</f>
        <v>546640.61152627808</v>
      </c>
      <c r="F16" s="1429">
        <f ca="1">ARR!G52</f>
        <v>590744.52032870194</v>
      </c>
      <c r="G16" s="1252"/>
      <c r="H16" s="1252"/>
      <c r="I16" s="1252"/>
      <c r="J16" s="1252"/>
      <c r="K16" s="1252"/>
      <c r="L16" s="1252"/>
      <c r="M16" s="1252"/>
      <c r="N16" s="1252"/>
      <c r="O16" s="1252"/>
    </row>
    <row r="17" spans="1:15" ht="56.25">
      <c r="A17" s="1287" t="s">
        <v>1395</v>
      </c>
      <c r="B17" s="1445">
        <f ca="1">B16-B15</f>
        <v>29476.28587140626</v>
      </c>
      <c r="C17" s="1445">
        <f t="shared" ref="C17:F17" ca="1" si="1">C16-C15</f>
        <v>57064.361100731243</v>
      </c>
      <c r="D17" s="1445">
        <f t="shared" ca="1" si="1"/>
        <v>93841.599451623508</v>
      </c>
      <c r="E17" s="1445">
        <f t="shared" ca="1" si="1"/>
        <v>142463.38928903674</v>
      </c>
      <c r="F17" s="1445">
        <f t="shared" ca="1" si="1"/>
        <v>185875.00981135853</v>
      </c>
      <c r="G17" s="1252"/>
      <c r="H17" s="1252"/>
      <c r="I17" s="1252"/>
      <c r="J17" s="1252"/>
      <c r="K17" s="1252"/>
      <c r="L17" s="1252"/>
      <c r="M17" s="1252"/>
      <c r="N17" s="1252"/>
      <c r="O17" s="1252"/>
    </row>
    <row r="18" spans="1:15" ht="75">
      <c r="A18" s="1286" t="s">
        <v>1292</v>
      </c>
      <c r="B18" s="1446">
        <f ca="1">B16</f>
        <v>438499.52606936177</v>
      </c>
      <c r="C18" s="1410">
        <f t="shared" ref="C18:F18" ca="1" si="2">C16</f>
        <v>465383.96403038636</v>
      </c>
      <c r="D18" s="1410">
        <f t="shared" ca="1" si="2"/>
        <v>501243.88494455529</v>
      </c>
      <c r="E18" s="1410">
        <f t="shared" ca="1" si="2"/>
        <v>546640.61152627808</v>
      </c>
      <c r="F18" s="1430">
        <f t="shared" ca="1" si="2"/>
        <v>590744.52032870194</v>
      </c>
      <c r="G18" s="1252"/>
      <c r="H18" s="1252"/>
      <c r="I18" s="1252"/>
      <c r="J18" s="1252"/>
      <c r="K18" s="1252"/>
      <c r="L18" s="1252"/>
      <c r="M18" s="1252"/>
      <c r="N18" s="1252"/>
      <c r="O18" s="1252"/>
    </row>
    <row r="19" spans="1:15" ht="147.75" customHeight="1">
      <c r="A19" s="1447" t="s">
        <v>1382</v>
      </c>
      <c r="B19" s="1440">
        <f ca="1">B18/B15-1</f>
        <v>7.2065063728751877E-2</v>
      </c>
      <c r="C19" s="1415">
        <f ca="1">C18/B18-1</f>
        <v>6.1310073016525912E-2</v>
      </c>
      <c r="D19" s="1415">
        <f t="shared" ref="D19:F19" ca="1" si="3">D18/C18-1</f>
        <v>7.7054483363822035E-2</v>
      </c>
      <c r="E19" s="1415">
        <f t="shared" ca="1" si="3"/>
        <v>9.0568140470669967E-2</v>
      </c>
      <c r="F19" s="1431">
        <f t="shared" ca="1" si="3"/>
        <v>8.0681727395410796E-2</v>
      </c>
      <c r="G19" s="1252"/>
      <c r="H19" s="1252"/>
      <c r="I19" s="1252"/>
      <c r="J19" s="1252"/>
      <c r="K19" s="1252"/>
      <c r="L19" s="1252"/>
      <c r="M19" s="1252"/>
      <c r="N19" s="1252"/>
      <c r="O19" s="1252"/>
    </row>
    <row r="20" spans="1:15" ht="79.900000000000006" customHeight="1">
      <c r="A20" s="1287" t="s">
        <v>1380</v>
      </c>
      <c r="B20" s="1441">
        <f ca="1">AVERAGE(B19:F19)</f>
        <v>7.6335897595036117E-2</v>
      </c>
      <c r="C20" s="1417"/>
      <c r="D20" s="1417"/>
      <c r="E20" s="1417"/>
      <c r="F20" s="1432"/>
      <c r="G20" s="1252"/>
      <c r="H20" s="1252"/>
      <c r="I20" s="1252"/>
      <c r="J20" s="1252"/>
      <c r="K20" s="1252"/>
      <c r="L20" s="1252"/>
      <c r="M20" s="1252"/>
      <c r="N20" s="1252"/>
      <c r="O20" s="1252"/>
    </row>
    <row r="21" spans="1:15" ht="36.6" customHeight="1">
      <c r="B21" s="1417"/>
      <c r="C21" s="1417"/>
      <c r="D21" s="1417"/>
      <c r="E21" s="1417"/>
      <c r="F21" s="1432"/>
      <c r="G21" s="1252"/>
      <c r="H21" s="1252"/>
      <c r="I21" s="1252"/>
      <c r="J21" s="1252"/>
      <c r="K21" s="1252"/>
      <c r="L21" s="1252"/>
      <c r="M21" s="1252"/>
      <c r="N21" s="1252"/>
      <c r="O21" s="1252"/>
    </row>
    <row r="22" spans="1:15">
      <c r="A22" s="1416"/>
      <c r="B22" s="1252"/>
      <c r="C22" s="1252"/>
      <c r="D22" s="1252"/>
      <c r="E22" s="1252"/>
      <c r="F22" s="1434"/>
      <c r="G22" s="1252"/>
      <c r="H22" s="1252"/>
      <c r="I22" s="1252"/>
      <c r="J22" s="1252"/>
      <c r="K22" s="1252"/>
      <c r="L22" s="1252"/>
      <c r="M22" s="1252"/>
      <c r="N22" s="1252"/>
      <c r="O22" s="1252"/>
    </row>
    <row r="23" spans="1:15">
      <c r="A23" s="1433"/>
      <c r="B23" s="1252"/>
      <c r="C23" s="1252"/>
      <c r="D23" s="1252"/>
      <c r="E23" s="1252"/>
      <c r="F23" s="1434"/>
      <c r="G23" s="1252"/>
      <c r="H23" s="1252"/>
      <c r="I23" s="1252"/>
      <c r="J23" s="1252"/>
      <c r="K23" s="1252"/>
      <c r="L23" s="1252"/>
      <c r="M23" s="1252"/>
      <c r="N23" s="1252"/>
      <c r="O23" s="1252"/>
    </row>
    <row r="24" spans="1:15">
      <c r="A24" s="1433"/>
      <c r="B24" s="1252"/>
      <c r="C24" s="1252"/>
      <c r="D24" s="1252"/>
      <c r="E24" s="1252"/>
      <c r="F24" s="1434"/>
      <c r="G24" s="1252"/>
      <c r="H24" s="1252"/>
      <c r="I24" s="1252"/>
      <c r="J24" s="1252"/>
      <c r="K24" s="1252"/>
      <c r="L24" s="1252"/>
      <c r="M24" s="1252"/>
      <c r="N24" s="1252"/>
      <c r="O24" s="1252"/>
    </row>
    <row r="25" spans="1:15">
      <c r="A25" s="1433"/>
      <c r="B25" s="1252"/>
      <c r="C25" s="1252"/>
      <c r="D25" s="1252"/>
      <c r="E25" s="1252"/>
      <c r="F25" s="1434"/>
      <c r="G25" s="1252"/>
      <c r="H25" s="1252"/>
      <c r="I25" s="1252"/>
      <c r="J25" s="1252"/>
      <c r="K25" s="1252"/>
      <c r="L25" s="1252"/>
      <c r="M25" s="1252"/>
      <c r="N25" s="1252"/>
      <c r="O25" s="1252"/>
    </row>
    <row r="26" spans="1:15">
      <c r="A26" s="1433"/>
      <c r="F26" s="1436"/>
    </row>
    <row r="27" spans="1:15">
      <c r="A27" s="1435"/>
      <c r="F27" s="1436"/>
    </row>
    <row r="28" spans="1:15">
      <c r="A28" s="1435"/>
      <c r="F28" s="1436" t="s">
        <v>822</v>
      </c>
    </row>
    <row r="29" spans="1:15" ht="19.5" thickBot="1">
      <c r="A29" s="1437"/>
      <c r="B29" s="1438"/>
      <c r="C29" s="1438"/>
      <c r="D29" s="1438"/>
      <c r="E29" s="1438"/>
      <c r="F29" s="1439"/>
    </row>
  </sheetData>
  <mergeCells count="8">
    <mergeCell ref="A1:F2"/>
    <mergeCell ref="A8:A12"/>
    <mergeCell ref="B8:F9"/>
    <mergeCell ref="B11:B12"/>
    <mergeCell ref="C11:C12"/>
    <mergeCell ref="D11:D12"/>
    <mergeCell ref="E11:E12"/>
    <mergeCell ref="F11:F12"/>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sheetPr>
    <tabColor rgb="FF00B050"/>
    <pageSetUpPr fitToPage="1"/>
  </sheetPr>
  <dimension ref="A1:L85"/>
  <sheetViews>
    <sheetView showGridLines="0" topLeftCell="A63" zoomScaleSheetLayoutView="115" workbookViewId="0">
      <selection activeCell="B79" sqref="B79"/>
    </sheetView>
  </sheetViews>
  <sheetFormatPr defaultColWidth="9.33203125" defaultRowHeight="15.75"/>
  <cols>
    <col min="1" max="1" width="11.33203125" style="40" customWidth="1"/>
    <col min="2" max="2" width="46.83203125" style="40" customWidth="1"/>
    <col min="3" max="3" width="21.5" style="40" customWidth="1"/>
    <col min="4" max="4" width="17.1640625" style="40" customWidth="1"/>
    <col min="5" max="5" width="19.1640625" style="40" customWidth="1"/>
    <col min="6" max="6" width="15.1640625" style="40" customWidth="1"/>
    <col min="7" max="7" width="20" style="40" customWidth="1"/>
    <col min="8" max="8" width="16.6640625" style="40" customWidth="1"/>
    <col min="9" max="9" width="12.1640625" style="40" customWidth="1"/>
    <col min="10" max="10" width="13.83203125" style="40" customWidth="1"/>
    <col min="11" max="15" width="12.1640625" style="40" customWidth="1"/>
    <col min="16" max="16384" width="9.33203125" style="40"/>
  </cols>
  <sheetData>
    <row r="1" spans="1:12">
      <c r="A1" s="40" t="s">
        <v>303</v>
      </c>
    </row>
    <row r="2" spans="1:12">
      <c r="H2" s="1204" t="s">
        <v>304</v>
      </c>
      <c r="L2" s="40" t="s">
        <v>1006</v>
      </c>
    </row>
    <row r="3" spans="1:12">
      <c r="B3" s="42"/>
      <c r="C3" s="42"/>
    </row>
    <row r="4" spans="1:12" ht="18.75">
      <c r="B4" s="1786" t="s">
        <v>305</v>
      </c>
      <c r="C4" s="1786"/>
      <c r="D4" s="1786"/>
      <c r="E4" s="1786"/>
      <c r="F4" s="1786"/>
      <c r="G4" s="1786"/>
      <c r="H4" s="1786"/>
    </row>
    <row r="5" spans="1:12">
      <c r="B5" s="1205"/>
      <c r="C5" s="41"/>
      <c r="D5" s="41"/>
    </row>
    <row r="6" spans="1:12" ht="24.75" customHeight="1">
      <c r="B6" s="1206" t="s">
        <v>498</v>
      </c>
      <c r="C6" s="303" t="s">
        <v>996</v>
      </c>
      <c r="D6" s="1207"/>
    </row>
    <row r="7" spans="1:12" ht="24.75" customHeight="1">
      <c r="B7" s="1206" t="s">
        <v>499</v>
      </c>
      <c r="C7" s="1788" t="str">
        <f>Depr!C6</f>
        <v>Singareni Thermal Power Project</v>
      </c>
      <c r="D7" s="1788"/>
    </row>
    <row r="8" spans="1:12">
      <c r="B8" s="42"/>
      <c r="C8" s="42"/>
    </row>
    <row r="9" spans="1:12">
      <c r="B9" s="42"/>
      <c r="C9" s="42"/>
    </row>
    <row r="10" spans="1:12">
      <c r="B10" s="1790" t="s">
        <v>308</v>
      </c>
      <c r="C10" s="1790" t="s">
        <v>309</v>
      </c>
      <c r="D10" s="1789" t="s">
        <v>1388</v>
      </c>
      <c r="E10" s="1789"/>
      <c r="F10" s="1789"/>
      <c r="G10" s="1789"/>
      <c r="H10" s="1789"/>
    </row>
    <row r="11" spans="1:12">
      <c r="B11" s="1790"/>
      <c r="C11" s="1790"/>
      <c r="D11" s="284" t="s">
        <v>1026</v>
      </c>
      <c r="E11" s="284" t="s">
        <v>1027</v>
      </c>
      <c r="F11" s="284" t="s">
        <v>1028</v>
      </c>
      <c r="G11" s="284" t="s">
        <v>1029</v>
      </c>
      <c r="H11" s="284" t="s">
        <v>1030</v>
      </c>
    </row>
    <row r="12" spans="1:12">
      <c r="B12" s="1222" t="s">
        <v>310</v>
      </c>
      <c r="C12" s="282" t="s">
        <v>311</v>
      </c>
      <c r="D12" s="1216">
        <f>'Form 3'!D18</f>
        <v>2400</v>
      </c>
      <c r="E12" s="1216">
        <f>'Form 3'!E18</f>
        <v>2400</v>
      </c>
      <c r="F12" s="1216">
        <f>'Form 3'!F18</f>
        <v>2400</v>
      </c>
      <c r="G12" s="1216">
        <f>'Form 3'!G18</f>
        <v>2400</v>
      </c>
      <c r="H12" s="1216">
        <f>'Form 3'!H18</f>
        <v>2400</v>
      </c>
      <c r="I12" s="1209"/>
      <c r="J12" s="1209"/>
    </row>
    <row r="13" spans="1:12">
      <c r="B13" s="1222" t="s">
        <v>312</v>
      </c>
      <c r="C13" s="1217" t="s">
        <v>313</v>
      </c>
      <c r="D13" s="1218">
        <f>'Form 3'!D17</f>
        <v>7.0000000000000007E-2</v>
      </c>
      <c r="E13" s="1218">
        <f>'Form 3'!E17</f>
        <v>7.0000000000000007E-2</v>
      </c>
      <c r="F13" s="1218">
        <f>'Form 3'!F17</f>
        <v>7.3300000000000004E-2</v>
      </c>
      <c r="G13" s="1218">
        <f>'Form 3'!G17</f>
        <v>8.5000000000000006E-2</v>
      </c>
      <c r="H13" s="1218">
        <f>'Form 3'!H17</f>
        <v>8.5000000000000006E-2</v>
      </c>
      <c r="I13" s="1210"/>
      <c r="J13" s="1210"/>
    </row>
    <row r="14" spans="1:12">
      <c r="B14" s="1222" t="s">
        <v>314</v>
      </c>
      <c r="C14" s="1217" t="s">
        <v>315</v>
      </c>
      <c r="D14" s="1216">
        <f>'Form 3'!D19</f>
        <v>2</v>
      </c>
      <c r="E14" s="1216">
        <f>'Form 3'!E19</f>
        <v>2</v>
      </c>
      <c r="F14" s="1216">
        <f>'Form 3'!F19</f>
        <v>2</v>
      </c>
      <c r="G14" s="1216">
        <f>'Form 3'!G19</f>
        <v>2</v>
      </c>
      <c r="H14" s="1216">
        <f>'Form 3'!H19</f>
        <v>2</v>
      </c>
      <c r="I14" s="1209"/>
      <c r="J14" s="1209"/>
    </row>
    <row r="15" spans="1:12">
      <c r="B15" s="1222" t="s">
        <v>316</v>
      </c>
      <c r="C15" s="282" t="s">
        <v>317</v>
      </c>
      <c r="D15" s="283">
        <f>'Form 18 HFO (2)'!L30</f>
        <v>9993.1512911579139</v>
      </c>
      <c r="E15" s="283">
        <f>D15</f>
        <v>9993.1512911579139</v>
      </c>
      <c r="F15" s="283">
        <f t="shared" ref="F15:H15" si="0">E15</f>
        <v>9993.1512911579139</v>
      </c>
      <c r="G15" s="283">
        <f t="shared" si="0"/>
        <v>9993.1512911579139</v>
      </c>
      <c r="H15" s="283">
        <f t="shared" si="0"/>
        <v>9993.1512911579139</v>
      </c>
      <c r="I15" s="1211"/>
      <c r="J15" s="1211"/>
    </row>
    <row r="16" spans="1:12">
      <c r="B16" s="1222" t="s">
        <v>318</v>
      </c>
      <c r="C16" s="282" t="s">
        <v>319</v>
      </c>
      <c r="D16" s="283">
        <f>'Form 18 Coal (2)'!R29</f>
        <v>3866.1733659232373</v>
      </c>
      <c r="E16" s="283">
        <f t="shared" ref="E16:H16" si="1">D16</f>
        <v>3866.1733659232373</v>
      </c>
      <c r="F16" s="283">
        <f t="shared" si="1"/>
        <v>3866.1733659232373</v>
      </c>
      <c r="G16" s="283">
        <f t="shared" si="1"/>
        <v>3866.1733659232373</v>
      </c>
      <c r="H16" s="283">
        <f t="shared" si="1"/>
        <v>3866.1733659232373</v>
      </c>
      <c r="I16" s="1211"/>
      <c r="J16" s="1211"/>
    </row>
    <row r="17" spans="2:10">
      <c r="B17" s="1222" t="s">
        <v>320</v>
      </c>
      <c r="C17" s="282" t="s">
        <v>321</v>
      </c>
      <c r="D17" s="283">
        <f>'Form 18 Coal (2)'!R28*1.11</f>
        <v>4182.0406394961756</v>
      </c>
      <c r="E17" s="283">
        <f>D17*1.11</f>
        <v>4642.0651098407552</v>
      </c>
      <c r="F17" s="283">
        <f t="shared" ref="F17:H17" si="2">E17*1.11</f>
        <v>5152.6922719232389</v>
      </c>
      <c r="G17" s="283">
        <f t="shared" si="2"/>
        <v>5719.4884218347961</v>
      </c>
      <c r="H17" s="283">
        <f t="shared" si="2"/>
        <v>6348.6321482366238</v>
      </c>
      <c r="I17" s="1211"/>
      <c r="J17" s="1211"/>
    </row>
    <row r="18" spans="2:10">
      <c r="B18" s="1222" t="s">
        <v>322</v>
      </c>
      <c r="C18" s="282" t="s">
        <v>323</v>
      </c>
      <c r="D18" s="1219">
        <f>'Form 18 HFO (2)'!L29/1000000*1.15</f>
        <v>5.3644852872402109E-2</v>
      </c>
      <c r="E18" s="1219">
        <f>D18*1.15</f>
        <v>6.1691580803262418E-2</v>
      </c>
      <c r="F18" s="1219">
        <f t="shared" ref="F18:H18" si="3">E18*1.15</f>
        <v>7.0945317923751777E-2</v>
      </c>
      <c r="G18" s="1219">
        <f t="shared" si="3"/>
        <v>8.1587115612314534E-2</v>
      </c>
      <c r="H18" s="1219">
        <f t="shared" si="3"/>
        <v>9.3825182954161701E-2</v>
      </c>
      <c r="I18" s="1212"/>
      <c r="J18" s="1212"/>
    </row>
    <row r="19" spans="2:10">
      <c r="B19" s="1222" t="s">
        <v>324</v>
      </c>
      <c r="C19" s="282" t="s">
        <v>325</v>
      </c>
      <c r="D19" s="1216">
        <f>D14*D18*100</f>
        <v>10.728970574480421</v>
      </c>
      <c r="E19" s="283">
        <f t="shared" ref="E19:H19" si="4">E14*E18*100</f>
        <v>12.338316160652484</v>
      </c>
      <c r="F19" s="1216">
        <f t="shared" si="4"/>
        <v>14.189063584750356</v>
      </c>
      <c r="G19" s="1216">
        <f t="shared" si="4"/>
        <v>16.317423122462905</v>
      </c>
      <c r="H19" s="1216">
        <f t="shared" si="4"/>
        <v>18.765036590832342</v>
      </c>
      <c r="I19" s="1209"/>
      <c r="J19" s="1209"/>
    </row>
    <row r="20" spans="2:10">
      <c r="B20" s="1222" t="s">
        <v>326</v>
      </c>
      <c r="C20" s="282" t="s">
        <v>311</v>
      </c>
      <c r="D20" s="1220">
        <f>+D14*D15/10^3</f>
        <v>19.986302582315826</v>
      </c>
      <c r="E20" s="283">
        <f t="shared" ref="E20:H20" si="5">+E14*E15/10^3</f>
        <v>19.986302582315826</v>
      </c>
      <c r="F20" s="1220">
        <f t="shared" si="5"/>
        <v>19.986302582315826</v>
      </c>
      <c r="G20" s="1220">
        <f t="shared" si="5"/>
        <v>19.986302582315826</v>
      </c>
      <c r="H20" s="1220">
        <f t="shared" si="5"/>
        <v>19.986302582315826</v>
      </c>
      <c r="I20" s="1124"/>
      <c r="J20" s="1124"/>
    </row>
    <row r="21" spans="2:10">
      <c r="B21" s="1222" t="s">
        <v>327</v>
      </c>
      <c r="C21" s="282" t="s">
        <v>311</v>
      </c>
      <c r="D21" s="1216">
        <f>+D12-D20</f>
        <v>2380.0136974176844</v>
      </c>
      <c r="E21" s="283">
        <f t="shared" ref="E21:H21" si="6">+E12-E20</f>
        <v>2380.0136974176844</v>
      </c>
      <c r="F21" s="1216">
        <f t="shared" si="6"/>
        <v>2380.0136974176844</v>
      </c>
      <c r="G21" s="1216">
        <f t="shared" si="6"/>
        <v>2380.0136974176844</v>
      </c>
      <c r="H21" s="1216">
        <f t="shared" si="6"/>
        <v>2380.0136974176844</v>
      </c>
      <c r="I21" s="1209"/>
      <c r="J21" s="1209"/>
    </row>
    <row r="22" spans="2:10">
      <c r="B22" s="1222" t="s">
        <v>328</v>
      </c>
      <c r="C22" s="282" t="s">
        <v>329</v>
      </c>
      <c r="D22" s="1216">
        <f>+D21/D16</f>
        <v>0.61559932060867117</v>
      </c>
      <c r="E22" s="283">
        <f t="shared" ref="E22:H22" si="7">+E21/E16</f>
        <v>0.61559932060867117</v>
      </c>
      <c r="F22" s="1216">
        <f t="shared" si="7"/>
        <v>0.61559932060867117</v>
      </c>
      <c r="G22" s="1216">
        <f t="shared" si="7"/>
        <v>0.61559932060867117</v>
      </c>
      <c r="H22" s="1216">
        <f t="shared" si="7"/>
        <v>0.61559932060867117</v>
      </c>
      <c r="I22" s="1209"/>
      <c r="J22" s="1209"/>
    </row>
    <row r="23" spans="2:10">
      <c r="B23" s="1222" t="s">
        <v>330</v>
      </c>
      <c r="C23" s="282" t="s">
        <v>325</v>
      </c>
      <c r="D23" s="1221">
        <f>D22*D17/10</f>
        <v>257.44613764316983</v>
      </c>
      <c r="E23" s="283">
        <f t="shared" ref="E23:H23" si="8">E22*E17/10</f>
        <v>285.76521278391857</v>
      </c>
      <c r="F23" s="1221">
        <f t="shared" si="8"/>
        <v>317.1993861901496</v>
      </c>
      <c r="G23" s="1221">
        <f t="shared" si="8"/>
        <v>352.09131867106612</v>
      </c>
      <c r="H23" s="1221">
        <f t="shared" si="8"/>
        <v>390.82136372488344</v>
      </c>
      <c r="I23" s="1213"/>
      <c r="J23" s="1213"/>
    </row>
    <row r="24" spans="2:10">
      <c r="B24" s="1222" t="s">
        <v>1258</v>
      </c>
      <c r="C24" s="282" t="s">
        <v>325</v>
      </c>
      <c r="D24" s="1224">
        <f>ROUND((D23+D19)/(1-D13),1)</f>
        <v>288.39999999999998</v>
      </c>
      <c r="E24" s="1224">
        <f t="shared" ref="E24:H24" si="9">ROUND((E23+E19)/(1-E13),1)</f>
        <v>320.5</v>
      </c>
      <c r="F24" s="1224">
        <f t="shared" si="9"/>
        <v>357.6</v>
      </c>
      <c r="G24" s="1224">
        <f t="shared" si="9"/>
        <v>402.6</v>
      </c>
      <c r="H24" s="1224">
        <f t="shared" si="9"/>
        <v>447.6</v>
      </c>
      <c r="I24" s="1214"/>
      <c r="J24" s="1214"/>
    </row>
    <row r="25" spans="2:10" hidden="1">
      <c r="B25" s="40" t="s">
        <v>586</v>
      </c>
      <c r="C25" s="1122" t="s">
        <v>585</v>
      </c>
      <c r="D25" s="1208">
        <v>537.66</v>
      </c>
      <c r="G25" s="44"/>
    </row>
    <row r="26" spans="2:10">
      <c r="B26" s="42"/>
      <c r="C26" s="42"/>
      <c r="D26" s="42"/>
      <c r="G26" s="45"/>
    </row>
    <row r="27" spans="2:10">
      <c r="B27" s="42"/>
      <c r="C27" s="42"/>
      <c r="D27" s="42"/>
      <c r="G27" s="46"/>
    </row>
    <row r="28" spans="2:10" ht="47.45" customHeight="1">
      <c r="B28" s="1787" t="s">
        <v>1399</v>
      </c>
      <c r="C28" s="1787"/>
      <c r="D28" s="1787"/>
      <c r="E28" s="1787"/>
      <c r="F28" s="1787"/>
      <c r="G28" s="1787"/>
      <c r="H28" s="1787"/>
    </row>
    <row r="29" spans="2:10">
      <c r="B29" s="1463" t="s">
        <v>1400</v>
      </c>
      <c r="C29" s="298"/>
    </row>
    <row r="30" spans="2:10">
      <c r="B30" s="42"/>
      <c r="C30" s="42"/>
    </row>
    <row r="31" spans="2:10">
      <c r="B31" s="42"/>
      <c r="C31" s="42"/>
      <c r="D31" s="44"/>
    </row>
    <row r="32" spans="2:10" hidden="1">
      <c r="D32" s="42" t="e">
        <f>(#REF!*#REF!+(((#REF!-#REF!/1000*#REF!)/#REF!)*#REF!/1000))/(1-#REF!)</f>
        <v>#REF!</v>
      </c>
    </row>
    <row r="33" spans="1:10" hidden="1">
      <c r="D33" s="40" t="s">
        <v>332</v>
      </c>
    </row>
    <row r="34" spans="1:10" hidden="1">
      <c r="D34" s="47" t="e">
        <f>#REF!</f>
        <v>#REF!</v>
      </c>
    </row>
    <row r="35" spans="1:10" hidden="1">
      <c r="D35" s="47" t="e">
        <f>#REF!</f>
        <v>#REF!</v>
      </c>
      <c r="E35" s="40" t="e">
        <f>D34*D35</f>
        <v>#REF!</v>
      </c>
    </row>
    <row r="36" spans="1:10" hidden="1">
      <c r="D36" s="48" t="e">
        <f>#REF!</f>
        <v>#REF!</v>
      </c>
      <c r="E36" s="43" t="e">
        <f>D36-D37/D38*D39</f>
        <v>#REF!</v>
      </c>
    </row>
    <row r="37" spans="1:10" hidden="1">
      <c r="D37" s="48" t="e">
        <f>#REF!</f>
        <v>#REF!</v>
      </c>
      <c r="E37" s="44" t="e">
        <f>D36-D37/D38*D39</f>
        <v>#REF!</v>
      </c>
      <c r="F37" s="45"/>
    </row>
    <row r="38" spans="1:10" hidden="1">
      <c r="D38" s="49">
        <v>1000</v>
      </c>
      <c r="E38" s="44" t="e">
        <f>E37/D40</f>
        <v>#REF!</v>
      </c>
      <c r="F38" s="45"/>
    </row>
    <row r="39" spans="1:10" hidden="1">
      <c r="D39" s="48" t="e">
        <f>#REF!</f>
        <v>#REF!</v>
      </c>
      <c r="E39" s="50" t="e">
        <f>E38*D41/1000</f>
        <v>#REF!</v>
      </c>
      <c r="F39" s="51"/>
    </row>
    <row r="40" spans="1:10" hidden="1">
      <c r="D40" s="43" t="e">
        <f>#REF!</f>
        <v>#REF!</v>
      </c>
      <c r="E40" s="50" t="e">
        <f>E35+E39</f>
        <v>#REF!</v>
      </c>
    </row>
    <row r="41" spans="1:10" hidden="1">
      <c r="D41" s="43" t="e">
        <f>#REF!</f>
        <v>#REF!</v>
      </c>
      <c r="E41" s="52" t="e">
        <f>E40/(1-#REF!)</f>
        <v>#REF!</v>
      </c>
    </row>
    <row r="42" spans="1:10">
      <c r="H42" s="1215" t="s">
        <v>331</v>
      </c>
    </row>
    <row r="46" spans="1:10" ht="63">
      <c r="A46" s="1288" t="s">
        <v>1361</v>
      </c>
      <c r="B46" s="284" t="s">
        <v>340</v>
      </c>
      <c r="C46" s="284" t="s">
        <v>1355</v>
      </c>
      <c r="D46" s="284" t="s">
        <v>1356</v>
      </c>
      <c r="E46" s="284" t="s">
        <v>1357</v>
      </c>
      <c r="F46" s="284" t="s">
        <v>1358</v>
      </c>
      <c r="G46" s="284" t="s">
        <v>1359</v>
      </c>
      <c r="H46" s="1296" t="s">
        <v>1362</v>
      </c>
      <c r="I46" s="1296" t="s">
        <v>1365</v>
      </c>
      <c r="J46" s="1296" t="s">
        <v>1366</v>
      </c>
    </row>
    <row r="47" spans="1:10" ht="18.75">
      <c r="A47" s="284">
        <v>1</v>
      </c>
      <c r="B47" s="1289">
        <v>42826</v>
      </c>
      <c r="C47" s="1290">
        <v>3147.5756969005774</v>
      </c>
      <c r="D47" s="1291">
        <v>3851</v>
      </c>
      <c r="E47" s="1220">
        <f>C47/D47</f>
        <v>0.81733983300456436</v>
      </c>
      <c r="F47" s="1290">
        <v>42967.57</v>
      </c>
      <c r="G47" s="1290" t="s">
        <v>1360</v>
      </c>
      <c r="H47" s="1297" t="s">
        <v>593</v>
      </c>
      <c r="I47" s="1297" t="s">
        <v>593</v>
      </c>
      <c r="J47" s="1297" t="s">
        <v>593</v>
      </c>
    </row>
    <row r="48" spans="1:10" ht="18.75">
      <c r="A48" s="284">
        <v>2</v>
      </c>
      <c r="B48" s="1289">
        <v>42856</v>
      </c>
      <c r="C48" s="1290">
        <v>2902.3</v>
      </c>
      <c r="D48" s="1291">
        <v>3717</v>
      </c>
      <c r="E48" s="1220">
        <f>C48/D48</f>
        <v>0.78081786386871133</v>
      </c>
      <c r="F48" s="1290">
        <v>44607.118000000002</v>
      </c>
      <c r="G48" s="1290">
        <v>31526.81</v>
      </c>
      <c r="H48" s="1298">
        <f>(E48/$E$47)^(1/(A48-$A$47))-1</f>
        <v>-4.4683946213164738E-2</v>
      </c>
      <c r="I48" s="1298">
        <f>(F48/$F$47)^(1/(A48-$A$47))-1</f>
        <v>3.8157801337147967E-2</v>
      </c>
      <c r="J48" s="1297" t="s">
        <v>593</v>
      </c>
    </row>
    <row r="49" spans="1:10" ht="18.75">
      <c r="A49" s="284">
        <v>3</v>
      </c>
      <c r="B49" s="1289">
        <v>42887</v>
      </c>
      <c r="C49" s="1290">
        <v>3262.8</v>
      </c>
      <c r="D49" s="1458">
        <v>3709</v>
      </c>
      <c r="E49" s="1220">
        <f t="shared" ref="E49:E70" si="10">C49/D49</f>
        <v>0.87969803181450534</v>
      </c>
      <c r="F49" s="1290" t="s">
        <v>1360</v>
      </c>
      <c r="G49" s="1290" t="s">
        <v>1360</v>
      </c>
      <c r="H49" s="1298">
        <f t="shared" ref="H49:H79" si="11">(E49/$E$47)^(1/(A49-$A$47))-1</f>
        <v>3.7445945597568864E-2</v>
      </c>
      <c r="I49" s="1297" t="s">
        <v>593</v>
      </c>
      <c r="J49" s="1297" t="s">
        <v>593</v>
      </c>
    </row>
    <row r="50" spans="1:10" ht="18.75">
      <c r="A50" s="284">
        <v>4</v>
      </c>
      <c r="B50" s="1289">
        <v>42917</v>
      </c>
      <c r="C50" s="1290">
        <v>2693.56</v>
      </c>
      <c r="D50" s="1457">
        <v>3748</v>
      </c>
      <c r="E50" s="1220">
        <f t="shared" si="10"/>
        <v>0.71866595517609388</v>
      </c>
      <c r="F50" s="1290" t="s">
        <v>1360</v>
      </c>
      <c r="G50" s="1290" t="s">
        <v>1360</v>
      </c>
      <c r="H50" s="1298">
        <f t="shared" si="11"/>
        <v>-4.1979499943068932E-2</v>
      </c>
      <c r="I50" s="1297" t="s">
        <v>593</v>
      </c>
      <c r="J50" s="1297" t="s">
        <v>593</v>
      </c>
    </row>
    <row r="51" spans="1:10" ht="18.75">
      <c r="A51" s="284">
        <v>5</v>
      </c>
      <c r="B51" s="1289">
        <v>42948</v>
      </c>
      <c r="C51" s="1290">
        <v>3088.212351773815</v>
      </c>
      <c r="D51" s="1291">
        <v>3673</v>
      </c>
      <c r="E51" s="1220">
        <f t="shared" si="10"/>
        <v>0.84078746304759466</v>
      </c>
      <c r="F51" s="1290" t="s">
        <v>1360</v>
      </c>
      <c r="G51" s="1290">
        <v>30482.6</v>
      </c>
      <c r="H51" s="1298">
        <f t="shared" si="11"/>
        <v>7.0960454723272282E-3</v>
      </c>
      <c r="I51" s="1297" t="s">
        <v>593</v>
      </c>
      <c r="J51" s="1298">
        <f>(G51/$G$48)^(1/(A51-$A$48))-1</f>
        <v>-1.1164629694485173E-2</v>
      </c>
    </row>
    <row r="52" spans="1:10" ht="18.75">
      <c r="A52" s="284">
        <v>6</v>
      </c>
      <c r="B52" s="1289">
        <v>42979</v>
      </c>
      <c r="C52" s="1290">
        <v>3141.9186492776807</v>
      </c>
      <c r="D52" s="1291">
        <v>3702</v>
      </c>
      <c r="E52" s="1220">
        <f t="shared" si="10"/>
        <v>0.84870844118792022</v>
      </c>
      <c r="F52" s="1290" t="s">
        <v>1360</v>
      </c>
      <c r="G52" s="1290" t="s">
        <v>1360</v>
      </c>
      <c r="H52" s="1298">
        <f t="shared" si="11"/>
        <v>7.5605884604530438E-3</v>
      </c>
      <c r="I52" s="1297" t="s">
        <v>593</v>
      </c>
      <c r="J52" s="1297" t="s">
        <v>593</v>
      </c>
    </row>
    <row r="53" spans="1:10" ht="18.75">
      <c r="A53" s="284">
        <v>7</v>
      </c>
      <c r="B53" s="1289">
        <v>43009</v>
      </c>
      <c r="C53" s="1290">
        <v>3089.42</v>
      </c>
      <c r="D53" s="1291">
        <v>3718</v>
      </c>
      <c r="E53" s="1220">
        <f t="shared" si="10"/>
        <v>0.83093598708983329</v>
      </c>
      <c r="F53" s="1290">
        <v>44034.355000000003</v>
      </c>
      <c r="G53" s="1290">
        <v>33159.19</v>
      </c>
      <c r="H53" s="1298">
        <f t="shared" si="11"/>
        <v>2.7534170527527824E-3</v>
      </c>
      <c r="I53" s="1298">
        <f t="shared" ref="I53:I79" si="12">(F53/$F$47)^(1/(A53-$A$47))-1</f>
        <v>4.095778134104E-3</v>
      </c>
      <c r="J53" s="1298">
        <f t="shared" ref="J53:J79" si="13">(G53/$G$48)^(1/(A53-$A$48))-1</f>
        <v>1.0147461417074899E-2</v>
      </c>
    </row>
    <row r="54" spans="1:10" ht="18.75">
      <c r="A54" s="284">
        <v>8</v>
      </c>
      <c r="B54" s="1289">
        <v>43040</v>
      </c>
      <c r="C54" s="1290">
        <v>3574.19</v>
      </c>
      <c r="D54" s="1291">
        <v>3706</v>
      </c>
      <c r="E54" s="1220">
        <f t="shared" si="10"/>
        <v>0.96443335132218022</v>
      </c>
      <c r="F54" s="1290" t="s">
        <v>1360</v>
      </c>
      <c r="G54" s="1290">
        <v>35981.4</v>
      </c>
      <c r="H54" s="1298">
        <f t="shared" si="11"/>
        <v>2.3922483383931326E-2</v>
      </c>
      <c r="I54" s="1298" t="s">
        <v>593</v>
      </c>
      <c r="J54" s="1298">
        <f t="shared" si="13"/>
        <v>2.2271699487188767E-2</v>
      </c>
    </row>
    <row r="55" spans="1:10" ht="18.75">
      <c r="A55" s="284">
        <v>9</v>
      </c>
      <c r="B55" s="1289">
        <v>43070</v>
      </c>
      <c r="C55" s="1290">
        <v>3228.45</v>
      </c>
      <c r="D55" s="1291">
        <v>3615</v>
      </c>
      <c r="E55" s="1220">
        <f t="shared" si="10"/>
        <v>0.89307053941908709</v>
      </c>
      <c r="F55" s="1290" t="s">
        <v>1360</v>
      </c>
      <c r="G55" s="1290" t="s">
        <v>1360</v>
      </c>
      <c r="H55" s="1298">
        <f t="shared" si="11"/>
        <v>1.1137895689128818E-2</v>
      </c>
      <c r="I55" s="1298" t="s">
        <v>593</v>
      </c>
      <c r="J55" s="1298" t="s">
        <v>593</v>
      </c>
    </row>
    <row r="56" spans="1:10" ht="18.75">
      <c r="A56" s="284">
        <v>10</v>
      </c>
      <c r="B56" s="1289">
        <v>43101</v>
      </c>
      <c r="C56" s="1454">
        <v>3619.76</v>
      </c>
      <c r="D56" s="1291">
        <v>3775</v>
      </c>
      <c r="E56" s="1220">
        <f t="shared" si="10"/>
        <v>0.95887682119205309</v>
      </c>
      <c r="F56" s="1290">
        <v>48880.45</v>
      </c>
      <c r="G56" s="1290">
        <v>35660.04</v>
      </c>
      <c r="H56" s="1298">
        <f t="shared" si="11"/>
        <v>1.7903678883550267E-2</v>
      </c>
      <c r="I56" s="1298">
        <f t="shared" si="12"/>
        <v>1.4428869516512899E-2</v>
      </c>
      <c r="J56" s="1298">
        <f t="shared" si="13"/>
        <v>1.5518231292971363E-2</v>
      </c>
    </row>
    <row r="57" spans="1:10" ht="18.75">
      <c r="A57" s="284">
        <v>11</v>
      </c>
      <c r="B57" s="1289">
        <v>43132</v>
      </c>
      <c r="C57" s="1290">
        <v>3667.7</v>
      </c>
      <c r="D57" s="1291">
        <v>3935</v>
      </c>
      <c r="E57" s="1220">
        <f t="shared" si="10"/>
        <v>0.93207115628970771</v>
      </c>
      <c r="F57" s="1290" t="s">
        <v>1360</v>
      </c>
      <c r="G57" s="1290" t="s">
        <v>1360</v>
      </c>
      <c r="H57" s="1298">
        <f t="shared" si="11"/>
        <v>1.3222068508587093E-2</v>
      </c>
      <c r="I57" s="1298" t="s">
        <v>593</v>
      </c>
      <c r="J57" s="1298" t="s">
        <v>593</v>
      </c>
    </row>
    <row r="58" spans="1:10" ht="18.75">
      <c r="A58" s="284">
        <v>12</v>
      </c>
      <c r="B58" s="1289">
        <v>43160</v>
      </c>
      <c r="C58" s="1290">
        <v>3571.0428028131214</v>
      </c>
      <c r="D58" s="1291">
        <v>3863</v>
      </c>
      <c r="E58" s="1220">
        <f t="shared" si="10"/>
        <v>0.92442215967204799</v>
      </c>
      <c r="F58" s="1290" t="s">
        <v>1360</v>
      </c>
      <c r="G58" s="1290" t="s">
        <v>1360</v>
      </c>
      <c r="H58" s="1298">
        <f t="shared" si="11"/>
        <v>1.1255038439038412E-2</v>
      </c>
      <c r="I58" s="1298" t="s">
        <v>593</v>
      </c>
      <c r="J58" s="1298" t="s">
        <v>593</v>
      </c>
    </row>
    <row r="59" spans="1:10" ht="18.75">
      <c r="A59" s="284">
        <v>13</v>
      </c>
      <c r="B59" s="1289">
        <v>43191</v>
      </c>
      <c r="C59" s="1455">
        <v>3821.08</v>
      </c>
      <c r="D59" s="1291">
        <v>3850</v>
      </c>
      <c r="E59" s="1220">
        <f t="shared" si="10"/>
        <v>0.99248831168831164</v>
      </c>
      <c r="F59" s="1290" t="s">
        <v>1360</v>
      </c>
      <c r="G59" s="1290">
        <v>38388.6</v>
      </c>
      <c r="H59" s="1298">
        <f t="shared" si="11"/>
        <v>1.6311628339977569E-2</v>
      </c>
      <c r="I59" s="1298" t="s">
        <v>593</v>
      </c>
      <c r="J59" s="1298">
        <f t="shared" si="13"/>
        <v>1.8063224034461145E-2</v>
      </c>
    </row>
    <row r="60" spans="1:10" ht="18.75">
      <c r="A60" s="284">
        <v>14</v>
      </c>
      <c r="B60" s="1289">
        <v>43221</v>
      </c>
      <c r="C60" s="1455">
        <v>3734.01</v>
      </c>
      <c r="D60" s="1291">
        <v>3802</v>
      </c>
      <c r="E60" s="1220">
        <f t="shared" si="10"/>
        <v>0.98211730668069441</v>
      </c>
      <c r="F60" s="1290" t="s">
        <v>1360</v>
      </c>
      <c r="G60" s="1290" t="s">
        <v>1360</v>
      </c>
      <c r="H60" s="1298">
        <f t="shared" si="11"/>
        <v>1.4227631908636518E-2</v>
      </c>
      <c r="I60" s="1298" t="s">
        <v>593</v>
      </c>
      <c r="J60" s="1298" t="s">
        <v>593</v>
      </c>
    </row>
    <row r="61" spans="1:10" ht="18.75">
      <c r="A61" s="284">
        <v>15</v>
      </c>
      <c r="B61" s="1289">
        <v>43252</v>
      </c>
      <c r="C61" s="1455">
        <v>3813.83</v>
      </c>
      <c r="D61" s="1291">
        <v>3932</v>
      </c>
      <c r="E61" s="1220">
        <f t="shared" si="10"/>
        <v>0.96994659206510681</v>
      </c>
      <c r="F61" s="1290" t="s">
        <v>1360</v>
      </c>
      <c r="G61" s="1290" t="s">
        <v>1360</v>
      </c>
      <c r="H61" s="1298">
        <f t="shared" si="11"/>
        <v>1.2302637398743155E-2</v>
      </c>
      <c r="I61" s="1298" t="s">
        <v>593</v>
      </c>
      <c r="J61" s="1298" t="s">
        <v>593</v>
      </c>
    </row>
    <row r="62" spans="1:10" ht="18.75">
      <c r="A62" s="284">
        <v>16</v>
      </c>
      <c r="B62" s="1289">
        <v>43282</v>
      </c>
      <c r="C62" s="1455">
        <v>3791.68</v>
      </c>
      <c r="D62" s="1291">
        <v>3820</v>
      </c>
      <c r="E62" s="1220">
        <f t="shared" si="10"/>
        <v>0.99258638743455496</v>
      </c>
      <c r="F62" s="1290">
        <v>51563.97</v>
      </c>
      <c r="G62" s="1290">
        <v>41191</v>
      </c>
      <c r="H62" s="1298">
        <f t="shared" si="11"/>
        <v>1.3034828171213375E-2</v>
      </c>
      <c r="I62" s="1298">
        <f t="shared" si="12"/>
        <v>1.2232716904786445E-2</v>
      </c>
      <c r="J62" s="1298">
        <f t="shared" si="13"/>
        <v>1.9282224309006724E-2</v>
      </c>
    </row>
    <row r="63" spans="1:10" ht="18.75">
      <c r="A63" s="284">
        <v>17</v>
      </c>
      <c r="B63" s="1289">
        <v>43313</v>
      </c>
      <c r="C63" s="1455">
        <v>3700.16</v>
      </c>
      <c r="D63" s="1291">
        <v>3821</v>
      </c>
      <c r="E63" s="1220">
        <f t="shared" si="10"/>
        <v>0.96837477100235536</v>
      </c>
      <c r="F63" s="1290">
        <v>57642.879999999997</v>
      </c>
      <c r="G63" s="1290">
        <v>46990.05</v>
      </c>
      <c r="H63" s="1298">
        <f t="shared" si="11"/>
        <v>1.0654118435951654E-2</v>
      </c>
      <c r="I63" s="1298">
        <f t="shared" si="12"/>
        <v>1.8533469931901081E-2</v>
      </c>
      <c r="J63" s="1298">
        <f t="shared" si="13"/>
        <v>2.6963618691587588E-2</v>
      </c>
    </row>
    <row r="64" spans="1:10" ht="18.75">
      <c r="A64" s="284">
        <v>18</v>
      </c>
      <c r="B64" s="1289">
        <v>43344</v>
      </c>
      <c r="C64" s="1455">
        <v>3969.18</v>
      </c>
      <c r="D64" s="1291">
        <v>3919</v>
      </c>
      <c r="E64" s="1220">
        <f t="shared" si="10"/>
        <v>1.0128042868078591</v>
      </c>
      <c r="F64" s="1290">
        <v>57449.01</v>
      </c>
      <c r="G64" s="1290">
        <v>45257.66</v>
      </c>
      <c r="H64" s="1298">
        <f t="shared" si="11"/>
        <v>1.269301777398546E-2</v>
      </c>
      <c r="I64" s="1298">
        <f t="shared" si="12"/>
        <v>1.7232209791667508E-2</v>
      </c>
      <c r="J64" s="1298">
        <f t="shared" si="13"/>
        <v>2.2853072658300722E-2</v>
      </c>
    </row>
    <row r="65" spans="1:10" ht="18.75">
      <c r="A65" s="284">
        <v>19</v>
      </c>
      <c r="B65" s="1289">
        <v>43374</v>
      </c>
      <c r="C65" s="1455">
        <v>3909.68</v>
      </c>
      <c r="D65" s="1291">
        <v>3805</v>
      </c>
      <c r="E65" s="1220">
        <f t="shared" si="10"/>
        <v>1.0275111695137975</v>
      </c>
      <c r="F65" s="1290" t="s">
        <v>1360</v>
      </c>
      <c r="G65" s="1290">
        <v>44426.788</v>
      </c>
      <c r="H65" s="1298">
        <f t="shared" si="11"/>
        <v>1.2794483231452602E-2</v>
      </c>
      <c r="I65" s="1298" t="s">
        <v>593</v>
      </c>
      <c r="J65" s="1298">
        <f t="shared" si="13"/>
        <v>2.0381651094021347E-2</v>
      </c>
    </row>
    <row r="66" spans="1:10" ht="18.75">
      <c r="A66" s="284">
        <v>20</v>
      </c>
      <c r="B66" s="1289">
        <v>43405</v>
      </c>
      <c r="C66" s="1455">
        <v>3658.61</v>
      </c>
      <c r="D66" s="1291">
        <v>3871</v>
      </c>
      <c r="E66" s="1220">
        <f t="shared" si="10"/>
        <v>0.94513304055799541</v>
      </c>
      <c r="F66" s="1290">
        <v>58363</v>
      </c>
      <c r="G66" s="1290">
        <v>48597.71</v>
      </c>
      <c r="H66" s="1298">
        <f t="shared" si="11"/>
        <v>7.6751324356942874E-3</v>
      </c>
      <c r="I66" s="1298">
        <f t="shared" si="12"/>
        <v>1.6248300541623628E-2</v>
      </c>
      <c r="J66" s="1298">
        <f t="shared" si="13"/>
        <v>2.4332321227479525E-2</v>
      </c>
    </row>
    <row r="67" spans="1:10" ht="18.75">
      <c r="A67" s="284">
        <v>21</v>
      </c>
      <c r="B67" s="1289">
        <v>43435</v>
      </c>
      <c r="C67" s="1455">
        <v>3623.93</v>
      </c>
      <c r="D67" s="1291">
        <v>3852</v>
      </c>
      <c r="E67" s="1220">
        <f t="shared" si="10"/>
        <v>0.9407917964693665</v>
      </c>
      <c r="F67" s="1290">
        <v>51299.199999999997</v>
      </c>
      <c r="G67" s="1290">
        <v>46447.49</v>
      </c>
      <c r="H67" s="1298">
        <f t="shared" si="11"/>
        <v>7.0581368954767409E-3</v>
      </c>
      <c r="I67" s="1298">
        <f t="shared" si="12"/>
        <v>8.9008547285172046E-3</v>
      </c>
      <c r="J67" s="1298">
        <f t="shared" si="13"/>
        <v>2.0603278223030763E-2</v>
      </c>
    </row>
    <row r="68" spans="1:10" ht="18.75">
      <c r="A68" s="284">
        <v>22</v>
      </c>
      <c r="B68" s="1292">
        <v>43466</v>
      </c>
      <c r="C68" s="1455">
        <v>3878.32</v>
      </c>
      <c r="D68" s="1291">
        <v>3892</v>
      </c>
      <c r="E68" s="1220">
        <f t="shared" si="10"/>
        <v>0.99648509763617676</v>
      </c>
      <c r="F68" s="1290">
        <v>58066</v>
      </c>
      <c r="G68" s="1293">
        <v>38943.379999999997</v>
      </c>
      <c r="H68" s="1298">
        <f t="shared" si="11"/>
        <v>9.4817758054097645E-3</v>
      </c>
      <c r="I68" s="1298">
        <f t="shared" si="12"/>
        <v>1.4443052571519566E-2</v>
      </c>
      <c r="J68" s="1298">
        <f t="shared" si="13"/>
        <v>1.0619516082921221E-2</v>
      </c>
    </row>
    <row r="69" spans="1:10" ht="18.75">
      <c r="A69" s="284">
        <v>23</v>
      </c>
      <c r="B69" s="1453">
        <v>43497</v>
      </c>
      <c r="C69" s="1456">
        <v>3806.06</v>
      </c>
      <c r="D69" s="1457">
        <v>3859</v>
      </c>
      <c r="E69" s="1220">
        <f t="shared" si="10"/>
        <v>0.98628142005700958</v>
      </c>
      <c r="F69" s="1460" t="s">
        <v>1360</v>
      </c>
      <c r="G69" s="1460" t="s">
        <v>1360</v>
      </c>
      <c r="H69" s="1298">
        <f t="shared" si="11"/>
        <v>8.5768801538732564E-3</v>
      </c>
      <c r="I69" s="1297" t="s">
        <v>593</v>
      </c>
      <c r="J69" s="1297" t="s">
        <v>593</v>
      </c>
    </row>
    <row r="70" spans="1:10" ht="18.75">
      <c r="A70" s="284">
        <v>24</v>
      </c>
      <c r="B70" s="1453">
        <v>43525</v>
      </c>
      <c r="C70" s="1456">
        <v>3636.65</v>
      </c>
      <c r="D70" s="1457">
        <v>3850</v>
      </c>
      <c r="E70" s="1220">
        <f t="shared" si="10"/>
        <v>0.94458441558441564</v>
      </c>
      <c r="F70" s="1460" t="s">
        <v>1360</v>
      </c>
      <c r="G70" s="1460" t="s">
        <v>1360</v>
      </c>
      <c r="H70" s="1298">
        <f t="shared" si="11"/>
        <v>6.3107029428355332E-3</v>
      </c>
      <c r="I70" s="1297" t="s">
        <v>593</v>
      </c>
      <c r="J70" s="1297" t="s">
        <v>593</v>
      </c>
    </row>
    <row r="71" spans="1:10" ht="18.75">
      <c r="A71" s="284">
        <v>25</v>
      </c>
      <c r="B71" s="1289">
        <v>43556</v>
      </c>
      <c r="C71" s="1290">
        <v>3927.01</v>
      </c>
      <c r="D71" s="1291">
        <v>3674</v>
      </c>
      <c r="E71" s="1220">
        <f t="shared" ref="E71:E79" si="14">C71/D71</f>
        <v>1.068864997278171</v>
      </c>
      <c r="F71" s="1290">
        <v>49486.38</v>
      </c>
      <c r="G71" s="1290">
        <v>42634.53</v>
      </c>
      <c r="H71" s="1298">
        <f t="shared" si="11"/>
        <v>1.1241788187644763E-2</v>
      </c>
      <c r="I71" s="1298">
        <f t="shared" si="12"/>
        <v>5.9028466715616013E-3</v>
      </c>
      <c r="J71" s="1298">
        <f t="shared" si="13"/>
        <v>1.3209360823140726E-2</v>
      </c>
    </row>
    <row r="72" spans="1:10" ht="18.75">
      <c r="A72" s="284">
        <v>26</v>
      </c>
      <c r="B72" s="1292">
        <v>43586</v>
      </c>
      <c r="C72" s="1290">
        <v>4063.07</v>
      </c>
      <c r="D72" s="1291">
        <v>3628</v>
      </c>
      <c r="E72" s="1220">
        <f t="shared" si="14"/>
        <v>1.11992006615215</v>
      </c>
      <c r="F72" s="1290">
        <v>49486.38</v>
      </c>
      <c r="G72" s="1290">
        <v>42634.53</v>
      </c>
      <c r="H72" s="1298">
        <f t="shared" si="11"/>
        <v>1.2677998225105735E-2</v>
      </c>
      <c r="I72" s="1298">
        <f t="shared" si="12"/>
        <v>5.6660651724775857E-3</v>
      </c>
      <c r="J72" s="1298">
        <f t="shared" si="13"/>
        <v>1.2655502974503907E-2</v>
      </c>
    </row>
    <row r="73" spans="1:10" ht="18.75">
      <c r="A73" s="284">
        <v>27</v>
      </c>
      <c r="B73" s="1289">
        <v>43617</v>
      </c>
      <c r="C73" s="1290">
        <v>4118.67</v>
      </c>
      <c r="D73" s="1291">
        <v>3810</v>
      </c>
      <c r="E73" s="1220">
        <f t="shared" si="14"/>
        <v>1.0810157480314961</v>
      </c>
      <c r="F73" s="1290">
        <v>49486.38</v>
      </c>
      <c r="G73" s="1290">
        <v>48557</v>
      </c>
      <c r="H73" s="1298">
        <f t="shared" si="11"/>
        <v>1.0811931984364476E-2</v>
      </c>
      <c r="I73" s="1298">
        <f t="shared" si="12"/>
        <v>5.4475471054034053E-3</v>
      </c>
      <c r="J73" s="1298">
        <f t="shared" si="13"/>
        <v>1.7426096053947848E-2</v>
      </c>
    </row>
    <row r="74" spans="1:10" ht="18.75">
      <c r="A74" s="284">
        <v>28</v>
      </c>
      <c r="B74" s="1289">
        <v>43647</v>
      </c>
      <c r="C74" s="1290">
        <v>3981.04</v>
      </c>
      <c r="D74" s="1291">
        <v>3637</v>
      </c>
      <c r="E74" s="1220">
        <f t="shared" si="14"/>
        <v>1.094594445971955</v>
      </c>
      <c r="F74" s="1290">
        <v>52206.17</v>
      </c>
      <c r="G74" s="1290">
        <v>48557</v>
      </c>
      <c r="H74" s="1298">
        <f t="shared" si="11"/>
        <v>1.0876660393950521E-2</v>
      </c>
      <c r="I74" s="1298">
        <f t="shared" si="12"/>
        <v>7.2392271316292778E-3</v>
      </c>
      <c r="J74" s="1298">
        <f t="shared" si="13"/>
        <v>1.67502799861039E-2</v>
      </c>
    </row>
    <row r="75" spans="1:10" ht="18.75">
      <c r="A75" s="284">
        <v>29</v>
      </c>
      <c r="B75" s="1289">
        <v>43678</v>
      </c>
      <c r="C75" s="1290">
        <v>3968.73</v>
      </c>
      <c r="D75" s="1291">
        <v>3347</v>
      </c>
      <c r="E75" s="1220">
        <f t="shared" si="14"/>
        <v>1.1857573946818045</v>
      </c>
      <c r="F75" s="1290">
        <v>52487.95</v>
      </c>
      <c r="G75" s="1290">
        <v>48557</v>
      </c>
      <c r="H75" s="1298">
        <f t="shared" si="11"/>
        <v>1.3377330738495008E-2</v>
      </c>
      <c r="I75" s="1298">
        <f t="shared" si="12"/>
        <v>7.1733911848248511E-3</v>
      </c>
      <c r="J75" s="1298">
        <f t="shared" si="13"/>
        <v>1.6124924632259674E-2</v>
      </c>
    </row>
    <row r="76" spans="1:10" ht="18.75">
      <c r="A76" s="284">
        <v>30</v>
      </c>
      <c r="B76" s="1292">
        <v>43709</v>
      </c>
      <c r="C76" s="1290">
        <v>4234.3999999999996</v>
      </c>
      <c r="D76" s="1291">
        <v>3383</v>
      </c>
      <c r="E76" s="1220">
        <f t="shared" si="14"/>
        <v>1.2516701152822938</v>
      </c>
      <c r="F76" s="1290">
        <v>52487.95</v>
      </c>
      <c r="G76" s="1462" t="s">
        <v>593</v>
      </c>
      <c r="H76" s="1298">
        <f t="shared" si="11"/>
        <v>1.4804344632392441E-2</v>
      </c>
      <c r="I76" s="1298">
        <f t="shared" si="12"/>
        <v>6.9251783733796923E-3</v>
      </c>
      <c r="J76" s="1297" t="s">
        <v>593</v>
      </c>
    </row>
    <row r="77" spans="1:10" ht="18.75">
      <c r="A77" s="284">
        <v>31</v>
      </c>
      <c r="B77" s="1289">
        <v>43739</v>
      </c>
      <c r="C77" s="1290">
        <v>4029.44</v>
      </c>
      <c r="D77" s="1291">
        <v>3466</v>
      </c>
      <c r="E77" s="1220">
        <f t="shared" si="14"/>
        <v>1.1625620311598384</v>
      </c>
      <c r="F77" s="1290">
        <v>50500.13</v>
      </c>
      <c r="G77" s="1290">
        <v>42634.54</v>
      </c>
      <c r="H77" s="1298">
        <f t="shared" si="11"/>
        <v>1.181345194541783E-2</v>
      </c>
      <c r="I77" s="1298">
        <f t="shared" si="12"/>
        <v>5.3988638027808733E-3</v>
      </c>
      <c r="J77" s="1298">
        <f t="shared" si="13"/>
        <v>1.0462157481532897E-2</v>
      </c>
    </row>
    <row r="78" spans="1:10" ht="18.75">
      <c r="A78" s="284">
        <v>32</v>
      </c>
      <c r="B78" s="1289">
        <v>43770</v>
      </c>
      <c r="C78" s="1290">
        <v>4049.38</v>
      </c>
      <c r="D78" s="1291">
        <v>3572</v>
      </c>
      <c r="E78" s="1220">
        <f t="shared" si="14"/>
        <v>1.1336450167973124</v>
      </c>
      <c r="F78" s="1290">
        <v>50361.31</v>
      </c>
      <c r="G78" s="1290">
        <v>34137.9</v>
      </c>
      <c r="H78" s="1298">
        <f t="shared" si="11"/>
        <v>1.060873058359868E-2</v>
      </c>
      <c r="I78" s="1298">
        <f t="shared" si="12"/>
        <v>5.1349964383391455E-3</v>
      </c>
      <c r="J78" s="1298">
        <f t="shared" si="13"/>
        <v>2.6558508431362426E-3</v>
      </c>
    </row>
    <row r="79" spans="1:10" ht="18.75">
      <c r="A79" s="284">
        <v>33</v>
      </c>
      <c r="B79" s="1292">
        <v>43800</v>
      </c>
      <c r="C79" s="1290">
        <v>4090.74</v>
      </c>
      <c r="D79" s="1291">
        <v>3672</v>
      </c>
      <c r="E79" s="1220">
        <f t="shared" si="14"/>
        <v>1.1140359477124182</v>
      </c>
      <c r="F79" s="1290">
        <v>47552.24</v>
      </c>
      <c r="G79" s="1290">
        <v>31103.54</v>
      </c>
      <c r="H79" s="1298">
        <f t="shared" si="11"/>
        <v>9.7247853931274886E-3</v>
      </c>
      <c r="I79" s="1298">
        <f t="shared" si="12"/>
        <v>3.1732507306971858E-3</v>
      </c>
      <c r="J79" s="1298">
        <f t="shared" si="13"/>
        <v>-4.3592611397635928E-4</v>
      </c>
    </row>
    <row r="80" spans="1:10">
      <c r="G80" s="1294" t="s">
        <v>1363</v>
      </c>
      <c r="H80" s="1295">
        <f>AVERAGE(H48:H79)</f>
        <v>8.8341159658890944E-3</v>
      </c>
      <c r="I80" s="1295">
        <f t="shared" ref="I80:J80" si="15">AVERAGE(I48:I79)</f>
        <v>1.0907467781604107E-2</v>
      </c>
      <c r="J80" s="1295">
        <f t="shared" si="15"/>
        <v>1.4435995775210386E-2</v>
      </c>
    </row>
    <row r="81" spans="7:10">
      <c r="G81" s="1294" t="s">
        <v>1364</v>
      </c>
      <c r="H81" s="1295">
        <f>(1+H80)^12-1</f>
        <v>0.1113148696522912</v>
      </c>
      <c r="I81" s="1295">
        <f>(1+I80)^12-1</f>
        <v>0.1390344444134084</v>
      </c>
      <c r="J81" s="1295">
        <f>(1+J80)^12-1</f>
        <v>0.18767007340971653</v>
      </c>
    </row>
    <row r="84" spans="7:10">
      <c r="G84" s="40" t="s">
        <v>1367</v>
      </c>
      <c r="H84" s="1461">
        <v>0.11</v>
      </c>
    </row>
    <row r="85" spans="7:10" ht="25.15" customHeight="1">
      <c r="G85" s="40" t="s">
        <v>1368</v>
      </c>
      <c r="H85" s="1299">
        <v>0.15</v>
      </c>
      <c r="I85" s="135" t="s">
        <v>1377</v>
      </c>
      <c r="J85" s="135"/>
    </row>
  </sheetData>
  <mergeCells count="6">
    <mergeCell ref="B4:H4"/>
    <mergeCell ref="B28:H28"/>
    <mergeCell ref="C7:D7"/>
    <mergeCell ref="D10:H10"/>
    <mergeCell ref="B10:B11"/>
    <mergeCell ref="C10:C11"/>
  </mergeCells>
  <printOptions horizontalCentered="1"/>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rgb="FF00B050"/>
    <outlinePr summaryBelow="0" summaryRight="0"/>
    <pageSetUpPr fitToPage="1"/>
  </sheetPr>
  <dimension ref="A1:N43"/>
  <sheetViews>
    <sheetView showGridLines="0" view="pageBreakPreview" zoomScale="91" zoomScaleSheetLayoutView="91" workbookViewId="0">
      <selection activeCell="P11" sqref="P11"/>
    </sheetView>
  </sheetViews>
  <sheetFormatPr defaultColWidth="9.33203125" defaultRowHeight="12.75"/>
  <cols>
    <col min="1" max="1" width="6.5" style="53" customWidth="1"/>
    <col min="2" max="2" width="43" style="53" customWidth="1"/>
    <col min="3" max="3" width="9.83203125" style="53" customWidth="1"/>
    <col min="4" max="4" width="22.33203125" style="53" customWidth="1"/>
    <col min="5" max="5" width="10.6640625" style="53" customWidth="1"/>
    <col min="6" max="6" width="22.6640625" style="53" customWidth="1"/>
    <col min="7" max="7" width="10.6640625" style="53" customWidth="1"/>
    <col min="8" max="8" width="21.6640625" style="53" customWidth="1"/>
    <col min="9" max="9" width="14.83203125" style="53" customWidth="1"/>
    <col min="10" max="10" width="22.33203125" style="53" hidden="1" customWidth="1"/>
    <col min="11" max="11" width="14.33203125" style="53" hidden="1" customWidth="1"/>
    <col min="12" max="12" width="14.5" style="53" hidden="1" customWidth="1"/>
    <col min="13" max="13" width="15.6640625" style="53" hidden="1" customWidth="1"/>
    <col min="14" max="14" width="14.6640625" style="53" hidden="1" customWidth="1"/>
    <col min="15" max="16384" width="9.33203125" style="53"/>
  </cols>
  <sheetData>
    <row r="1" spans="1:14">
      <c r="I1" s="54" t="s">
        <v>333</v>
      </c>
    </row>
    <row r="2" spans="1:14">
      <c r="I2" s="54" t="s">
        <v>334</v>
      </c>
    </row>
    <row r="3" spans="1:14" s="55" customFormat="1" ht="15.75">
      <c r="A3" s="1791" t="s">
        <v>335</v>
      </c>
      <c r="B3" s="1791"/>
      <c r="C3" s="1791"/>
      <c r="D3" s="1791"/>
      <c r="E3" s="1791"/>
      <c r="F3" s="1791"/>
      <c r="G3" s="1791"/>
      <c r="H3" s="1791"/>
      <c r="I3" s="1791"/>
    </row>
    <row r="4" spans="1:14" s="55" customFormat="1" ht="13.5">
      <c r="I4" s="55" t="s">
        <v>336</v>
      </c>
    </row>
    <row r="5" spans="1:14" s="56" customFormat="1" ht="13.5">
      <c r="A5" s="56" t="s">
        <v>337</v>
      </c>
      <c r="C5" s="56" t="e">
        <f>'Form15 OIL'!C5</f>
        <v>#REF!</v>
      </c>
    </row>
    <row r="6" spans="1:14" s="56" customFormat="1" ht="13.5">
      <c r="A6" s="56" t="s">
        <v>338</v>
      </c>
      <c r="C6" s="57" t="e">
        <f>'Form15 OIL'!C6</f>
        <v>#REF!</v>
      </c>
    </row>
    <row r="7" spans="1:14" ht="13.5" thickBot="1"/>
    <row r="8" spans="1:14" s="59" customFormat="1" ht="16.7" customHeight="1">
      <c r="A8" s="1792" t="s">
        <v>339</v>
      </c>
      <c r="B8" s="1794" t="s">
        <v>340</v>
      </c>
      <c r="C8" s="58"/>
      <c r="D8" s="1797"/>
      <c r="E8" s="1798"/>
      <c r="F8" s="1797"/>
      <c r="G8" s="1798"/>
      <c r="H8" s="1797"/>
      <c r="I8" s="1798"/>
    </row>
    <row r="9" spans="1:14" s="59" customFormat="1" ht="35.25" customHeight="1">
      <c r="A9" s="1793"/>
      <c r="B9" s="1795"/>
      <c r="C9" s="60"/>
      <c r="D9" s="1799" t="s">
        <v>341</v>
      </c>
      <c r="E9" s="1800"/>
      <c r="F9" s="1801" t="s">
        <v>342</v>
      </c>
      <c r="G9" s="1801"/>
      <c r="H9" s="1801" t="s">
        <v>343</v>
      </c>
      <c r="I9" s="1802"/>
    </row>
    <row r="10" spans="1:14" s="59" customFormat="1" ht="33" customHeight="1" thickBot="1">
      <c r="A10" s="61"/>
      <c r="B10" s="1796"/>
      <c r="C10" s="62"/>
      <c r="D10" s="63" t="s">
        <v>344</v>
      </c>
      <c r="E10" s="64" t="s">
        <v>345</v>
      </c>
      <c r="F10" s="64" t="s">
        <v>346</v>
      </c>
      <c r="G10" s="64" t="s">
        <v>347</v>
      </c>
      <c r="H10" s="64" t="s">
        <v>348</v>
      </c>
      <c r="I10" s="65" t="s">
        <v>349</v>
      </c>
    </row>
    <row r="11" spans="1:14" s="59" customFormat="1" ht="39" customHeight="1">
      <c r="A11" s="66">
        <v>1</v>
      </c>
      <c r="B11" s="67" t="s">
        <v>350</v>
      </c>
      <c r="C11" s="68" t="s">
        <v>351</v>
      </c>
      <c r="D11" s="69">
        <v>0.168310531690157</v>
      </c>
      <c r="E11" s="70" t="s">
        <v>352</v>
      </c>
      <c r="F11" s="69">
        <f>D11</f>
        <v>0.168310531690157</v>
      </c>
      <c r="G11" s="70" t="s">
        <v>352</v>
      </c>
      <c r="H11" s="69">
        <f>F11</f>
        <v>0.168310531690157</v>
      </c>
      <c r="I11" s="71" t="s">
        <v>352</v>
      </c>
      <c r="J11" s="59">
        <v>281354.53000000003</v>
      </c>
      <c r="K11" s="59">
        <v>333382.64</v>
      </c>
      <c r="L11" s="59">
        <v>357319.28</v>
      </c>
      <c r="M11" s="72" t="s">
        <v>353</v>
      </c>
      <c r="N11" s="72">
        <f>[7]Form13B!F14/12</f>
        <v>269.75325000000004</v>
      </c>
    </row>
    <row r="12" spans="1:14" s="59" customFormat="1" ht="40.5" customHeight="1">
      <c r="A12" s="73">
        <v>2</v>
      </c>
      <c r="B12" s="74" t="s">
        <v>354</v>
      </c>
      <c r="C12" s="75" t="s">
        <v>351</v>
      </c>
      <c r="D12" s="76">
        <v>0</v>
      </c>
      <c r="E12" s="77" t="s">
        <v>352</v>
      </c>
      <c r="F12" s="76">
        <v>0</v>
      </c>
      <c r="G12" s="77" t="s">
        <v>352</v>
      </c>
      <c r="H12" s="76">
        <v>0</v>
      </c>
      <c r="I12" s="78" t="s">
        <v>352</v>
      </c>
      <c r="M12" s="72" t="s">
        <v>355</v>
      </c>
      <c r="N12" s="79">
        <f>[7]Form3!D17</f>
        <v>2339.784576601352</v>
      </c>
    </row>
    <row r="13" spans="1:14" s="59" customFormat="1" ht="45" customHeight="1">
      <c r="A13" s="73">
        <v>3</v>
      </c>
      <c r="B13" s="74" t="s">
        <v>356</v>
      </c>
      <c r="C13" s="75" t="s">
        <v>351</v>
      </c>
      <c r="D13" s="76">
        <f>D11+D12</f>
        <v>0.168310531690157</v>
      </c>
      <c r="E13" s="77" t="s">
        <v>352</v>
      </c>
      <c r="F13" s="76">
        <f>F11+F12</f>
        <v>0.168310531690157</v>
      </c>
      <c r="G13" s="77" t="s">
        <v>352</v>
      </c>
      <c r="H13" s="76">
        <f>H11+H12</f>
        <v>0.168310531690157</v>
      </c>
      <c r="I13" s="78" t="s">
        <v>352</v>
      </c>
      <c r="M13" s="72" t="s">
        <v>357</v>
      </c>
      <c r="N13" s="72">
        <v>3750</v>
      </c>
    </row>
    <row r="14" spans="1:14" s="59" customFormat="1" ht="51" customHeight="1">
      <c r="A14" s="73">
        <v>4</v>
      </c>
      <c r="B14" s="74" t="s">
        <v>358</v>
      </c>
      <c r="C14" s="75" t="s">
        <v>351</v>
      </c>
      <c r="D14" s="76">
        <f>D13*0.8%</f>
        <v>1.3464842535212561E-3</v>
      </c>
      <c r="E14" s="77" t="s">
        <v>352</v>
      </c>
      <c r="F14" s="76">
        <f>F13*0.8%</f>
        <v>1.3464842535212561E-3</v>
      </c>
      <c r="G14" s="77" t="s">
        <v>352</v>
      </c>
      <c r="H14" s="76">
        <f>H13*0.8%</f>
        <v>1.3464842535212561E-3</v>
      </c>
      <c r="I14" s="78" t="s">
        <v>352</v>
      </c>
      <c r="M14" s="72" t="s">
        <v>359</v>
      </c>
      <c r="N14" s="80">
        <f>N12/N13</f>
        <v>0.62394255376036056</v>
      </c>
    </row>
    <row r="15" spans="1:14" s="59" customFormat="1" ht="28.5" customHeight="1">
      <c r="A15" s="73">
        <v>5</v>
      </c>
      <c r="B15" s="74" t="s">
        <v>360</v>
      </c>
      <c r="C15" s="75" t="s">
        <v>351</v>
      </c>
      <c r="D15" s="76">
        <f>D13-D14</f>
        <v>0.16696404743663573</v>
      </c>
      <c r="E15" s="77" t="s">
        <v>352</v>
      </c>
      <c r="F15" s="76">
        <f>F13-F14</f>
        <v>0.16696404743663573</v>
      </c>
      <c r="G15" s="77" t="s">
        <v>352</v>
      </c>
      <c r="H15" s="76">
        <f>H13-H14</f>
        <v>0.16696404743663573</v>
      </c>
      <c r="I15" s="78" t="s">
        <v>352</v>
      </c>
      <c r="N15" s="59">
        <f>N11*N14/1000</f>
        <v>0.168310531690157</v>
      </c>
    </row>
    <row r="16" spans="1:14" s="59" customFormat="1" ht="30" customHeight="1">
      <c r="A16" s="73">
        <v>6</v>
      </c>
      <c r="B16" s="74" t="s">
        <v>361</v>
      </c>
      <c r="C16" s="75" t="s">
        <v>362</v>
      </c>
      <c r="D16" s="81">
        <f>D11*2700*10^6</f>
        <v>454438435.56342393</v>
      </c>
      <c r="E16" s="77" t="s">
        <v>352</v>
      </c>
      <c r="F16" s="81">
        <f>F11*2700*10^6</f>
        <v>454438435.56342393</v>
      </c>
      <c r="G16" s="77" t="s">
        <v>352</v>
      </c>
      <c r="H16" s="81">
        <f>H11*2700*10^6</f>
        <v>454438435.56342393</v>
      </c>
      <c r="I16" s="78" t="s">
        <v>352</v>
      </c>
      <c r="J16" s="59">
        <v>659846573</v>
      </c>
      <c r="K16" s="59">
        <v>713493195</v>
      </c>
      <c r="L16" s="59">
        <v>732522082</v>
      </c>
    </row>
    <row r="17" spans="1:14" s="59" customFormat="1" ht="42.75" customHeight="1">
      <c r="A17" s="73">
        <v>7</v>
      </c>
      <c r="B17" s="74" t="s">
        <v>363</v>
      </c>
      <c r="C17" s="75" t="s">
        <v>362</v>
      </c>
      <c r="D17" s="81">
        <v>0</v>
      </c>
      <c r="E17" s="77" t="s">
        <v>352</v>
      </c>
      <c r="F17" s="81">
        <v>0</v>
      </c>
      <c r="G17" s="77" t="s">
        <v>352</v>
      </c>
      <c r="H17" s="81">
        <v>0</v>
      </c>
      <c r="I17" s="78" t="s">
        <v>352</v>
      </c>
      <c r="J17" s="59">
        <v>50000000</v>
      </c>
      <c r="K17" s="59">
        <v>105510482</v>
      </c>
      <c r="L17" s="59">
        <v>100000000</v>
      </c>
      <c r="N17" s="59">
        <v>600</v>
      </c>
    </row>
    <row r="18" spans="1:14" s="59" customFormat="1" ht="30.75" customHeight="1">
      <c r="A18" s="82">
        <v>8</v>
      </c>
      <c r="B18" s="83" t="s">
        <v>364</v>
      </c>
      <c r="C18" s="84" t="s">
        <v>362</v>
      </c>
      <c r="D18" s="85">
        <f>D16+D17</f>
        <v>454438435.56342393</v>
      </c>
      <c r="E18" s="86" t="s">
        <v>352</v>
      </c>
      <c r="F18" s="85">
        <f>F16+F17</f>
        <v>454438435.56342393</v>
      </c>
      <c r="G18" s="86" t="s">
        <v>352</v>
      </c>
      <c r="H18" s="85">
        <f>H16+H17</f>
        <v>454438435.56342393</v>
      </c>
      <c r="I18" s="87" t="s">
        <v>352</v>
      </c>
      <c r="N18" s="59">
        <v>2700</v>
      </c>
    </row>
    <row r="19" spans="1:14" ht="30.75" customHeight="1">
      <c r="A19" s="73">
        <v>9</v>
      </c>
      <c r="B19" s="74" t="s">
        <v>365</v>
      </c>
      <c r="C19" s="75" t="s">
        <v>366</v>
      </c>
      <c r="D19" s="81">
        <f>D11*600*10^6</f>
        <v>100986319.0140942</v>
      </c>
      <c r="E19" s="77" t="s">
        <v>352</v>
      </c>
      <c r="F19" s="81">
        <f>F11*600*10^6</f>
        <v>100986319.0140942</v>
      </c>
      <c r="G19" s="77" t="s">
        <v>352</v>
      </c>
      <c r="H19" s="81">
        <f>H11*600*10^6</f>
        <v>100986319.0140942</v>
      </c>
      <c r="I19" s="78" t="s">
        <v>352</v>
      </c>
      <c r="J19" s="53">
        <v>42960280</v>
      </c>
      <c r="K19" s="53">
        <v>52669974</v>
      </c>
      <c r="L19" s="53">
        <v>61477568</v>
      </c>
    </row>
    <row r="20" spans="1:14" ht="42.75">
      <c r="A20" s="73">
        <v>10</v>
      </c>
      <c r="B20" s="74" t="s">
        <v>367</v>
      </c>
      <c r="C20" s="75" t="s">
        <v>366</v>
      </c>
      <c r="D20" s="81">
        <v>0</v>
      </c>
      <c r="E20" s="77" t="s">
        <v>352</v>
      </c>
      <c r="F20" s="81">
        <v>0</v>
      </c>
      <c r="G20" s="77" t="s">
        <v>352</v>
      </c>
      <c r="H20" s="81">
        <v>0</v>
      </c>
      <c r="I20" s="78" t="s">
        <v>352</v>
      </c>
    </row>
    <row r="21" spans="1:14" ht="19.5" customHeight="1">
      <c r="A21" s="73">
        <v>11</v>
      </c>
      <c r="B21" s="74" t="s">
        <v>368</v>
      </c>
      <c r="C21" s="75" t="s">
        <v>366</v>
      </c>
      <c r="D21" s="81">
        <v>0</v>
      </c>
      <c r="E21" s="77" t="s">
        <v>352</v>
      </c>
      <c r="F21" s="81">
        <v>0</v>
      </c>
      <c r="G21" s="77" t="s">
        <v>352</v>
      </c>
      <c r="H21" s="81">
        <v>0</v>
      </c>
      <c r="I21" s="78" t="s">
        <v>352</v>
      </c>
    </row>
    <row r="22" spans="1:14" ht="28.5">
      <c r="A22" s="73">
        <v>12</v>
      </c>
      <c r="B22" s="74" t="s">
        <v>369</v>
      </c>
      <c r="C22" s="75" t="s">
        <v>366</v>
      </c>
      <c r="D22" s="81">
        <v>0</v>
      </c>
      <c r="E22" s="77" t="s">
        <v>352</v>
      </c>
      <c r="F22" s="81">
        <v>0</v>
      </c>
      <c r="G22" s="77" t="s">
        <v>352</v>
      </c>
      <c r="H22" s="81">
        <v>0</v>
      </c>
      <c r="I22" s="78" t="s">
        <v>352</v>
      </c>
    </row>
    <row r="23" spans="1:14" ht="30">
      <c r="A23" s="82">
        <v>13</v>
      </c>
      <c r="B23" s="88" t="s">
        <v>370</v>
      </c>
      <c r="C23" s="84" t="s">
        <v>366</v>
      </c>
      <c r="D23" s="85">
        <f>D19+D20-D21+D22</f>
        <v>100986319.0140942</v>
      </c>
      <c r="E23" s="86" t="s">
        <v>352</v>
      </c>
      <c r="F23" s="85">
        <f>F19+F20-F21+F22</f>
        <v>100986319.0140942</v>
      </c>
      <c r="G23" s="86" t="s">
        <v>352</v>
      </c>
      <c r="H23" s="85">
        <f>H19+H20-H21+H22</f>
        <v>100986319.0140942</v>
      </c>
      <c r="I23" s="87" t="s">
        <v>352</v>
      </c>
    </row>
    <row r="24" spans="1:14" ht="45">
      <c r="A24" s="82">
        <v>14</v>
      </c>
      <c r="B24" s="88" t="s">
        <v>371</v>
      </c>
      <c r="C24" s="84" t="s">
        <v>366</v>
      </c>
      <c r="D24" s="85">
        <f>D18+D23</f>
        <v>555424754.57751811</v>
      </c>
      <c r="E24" s="86" t="s">
        <v>352</v>
      </c>
      <c r="F24" s="85">
        <f>F18+F23</f>
        <v>555424754.57751811</v>
      </c>
      <c r="G24" s="86" t="s">
        <v>352</v>
      </c>
      <c r="H24" s="85">
        <f>H18+H23</f>
        <v>555424754.57751811</v>
      </c>
      <c r="I24" s="87" t="s">
        <v>352</v>
      </c>
    </row>
    <row r="25" spans="1:14" ht="15">
      <c r="A25" s="73">
        <v>15</v>
      </c>
      <c r="B25" s="74" t="s">
        <v>372</v>
      </c>
      <c r="C25" s="75" t="s">
        <v>373</v>
      </c>
      <c r="D25" s="89">
        <f>D24/(D15*10^6)</f>
        <v>3326.6129032258068</v>
      </c>
      <c r="E25" s="77" t="s">
        <v>352</v>
      </c>
      <c r="F25" s="89">
        <f>F24/(F15*10^6)</f>
        <v>3326.6129032258068</v>
      </c>
      <c r="G25" s="77" t="s">
        <v>352</v>
      </c>
      <c r="H25" s="89">
        <f>H24/(H15*10^6)</f>
        <v>3326.6129032258068</v>
      </c>
      <c r="I25" s="78" t="s">
        <v>352</v>
      </c>
    </row>
    <row r="26" spans="1:14" ht="15">
      <c r="A26" s="73">
        <v>16</v>
      </c>
      <c r="B26" s="74" t="s">
        <v>374</v>
      </c>
      <c r="C26" s="90"/>
      <c r="D26" s="77" t="s">
        <v>352</v>
      </c>
      <c r="E26" s="77" t="s">
        <v>352</v>
      </c>
      <c r="F26" s="77" t="s">
        <v>352</v>
      </c>
      <c r="G26" s="77" t="s">
        <v>352</v>
      </c>
      <c r="H26" s="77" t="s">
        <v>352</v>
      </c>
      <c r="I26" s="78" t="s">
        <v>352</v>
      </c>
    </row>
    <row r="27" spans="1:14" ht="38.25">
      <c r="A27" s="73">
        <v>17</v>
      </c>
      <c r="B27" s="74" t="s">
        <v>375</v>
      </c>
      <c r="C27" s="75" t="s">
        <v>376</v>
      </c>
      <c r="D27" s="91">
        <f>D24/(D15*10^6)</f>
        <v>3326.6129032258068</v>
      </c>
      <c r="E27" s="77" t="s">
        <v>352</v>
      </c>
      <c r="F27" s="91">
        <f>F24/(F15*10^6)</f>
        <v>3326.6129032258068</v>
      </c>
      <c r="G27" s="77" t="s">
        <v>352</v>
      </c>
      <c r="H27" s="91">
        <f>H24/(H15*10^6)</f>
        <v>3326.6129032258068</v>
      </c>
      <c r="I27" s="78" t="s">
        <v>352</v>
      </c>
      <c r="J27" s="92">
        <f>((D27*D15)+(F27*F15)+(H27*H15))/(D15+F15+H15)</f>
        <v>3326.6129032258068</v>
      </c>
    </row>
    <row r="28" spans="1:14" ht="28.5">
      <c r="A28" s="73">
        <v>18</v>
      </c>
      <c r="B28" s="74" t="s">
        <v>377</v>
      </c>
      <c r="C28" s="75" t="s">
        <v>378</v>
      </c>
      <c r="D28" s="77" t="s">
        <v>352</v>
      </c>
      <c r="E28" s="77" t="s">
        <v>352</v>
      </c>
      <c r="F28" s="77" t="s">
        <v>352</v>
      </c>
      <c r="G28" s="77" t="s">
        <v>352</v>
      </c>
      <c r="H28" s="77" t="s">
        <v>352</v>
      </c>
      <c r="I28" s="78" t="s">
        <v>352</v>
      </c>
    </row>
    <row r="29" spans="1:14" ht="28.5">
      <c r="A29" s="73">
        <v>19</v>
      </c>
      <c r="B29" s="74" t="s">
        <v>379</v>
      </c>
      <c r="C29" s="75" t="s">
        <v>378</v>
      </c>
      <c r="D29" s="77" t="s">
        <v>352</v>
      </c>
      <c r="E29" s="77" t="s">
        <v>352</v>
      </c>
      <c r="F29" s="77" t="s">
        <v>352</v>
      </c>
      <c r="G29" s="77" t="s">
        <v>352</v>
      </c>
      <c r="H29" s="77" t="s">
        <v>352</v>
      </c>
      <c r="I29" s="78" t="s">
        <v>352</v>
      </c>
      <c r="K29" s="93">
        <f>(K27*K25+L28*L25)/100</f>
        <v>0</v>
      </c>
    </row>
    <row r="30" spans="1:14" ht="28.5">
      <c r="A30" s="73">
        <v>20</v>
      </c>
      <c r="B30" s="74" t="s">
        <v>380</v>
      </c>
      <c r="C30" s="75" t="s">
        <v>378</v>
      </c>
      <c r="D30" s="77" t="s">
        <v>352</v>
      </c>
      <c r="E30" s="77" t="s">
        <v>352</v>
      </c>
      <c r="F30" s="77" t="s">
        <v>352</v>
      </c>
      <c r="G30" s="77" t="s">
        <v>352</v>
      </c>
      <c r="H30" s="77" t="s">
        <v>352</v>
      </c>
      <c r="I30" s="78" t="s">
        <v>352</v>
      </c>
    </row>
    <row r="31" spans="1:14" ht="28.5">
      <c r="A31" s="73">
        <v>21</v>
      </c>
      <c r="B31" s="94" t="s">
        <v>381</v>
      </c>
      <c r="C31" s="75" t="s">
        <v>378</v>
      </c>
      <c r="D31" s="85">
        <v>3750</v>
      </c>
      <c r="E31" s="77" t="s">
        <v>352</v>
      </c>
      <c r="F31" s="85">
        <v>3750</v>
      </c>
      <c r="G31" s="77" t="s">
        <v>352</v>
      </c>
      <c r="H31" s="85">
        <v>3750</v>
      </c>
      <c r="I31" s="78" t="s">
        <v>352</v>
      </c>
    </row>
    <row r="32" spans="1:14" ht="28.5">
      <c r="A32" s="73">
        <v>22</v>
      </c>
      <c r="B32" s="94" t="s">
        <v>382</v>
      </c>
      <c r="C32" s="75" t="s">
        <v>378</v>
      </c>
      <c r="D32" s="95" t="s">
        <v>352</v>
      </c>
      <c r="E32" s="77" t="s">
        <v>352</v>
      </c>
      <c r="F32" s="95" t="s">
        <v>352</v>
      </c>
      <c r="G32" s="77" t="s">
        <v>352</v>
      </c>
      <c r="H32" s="95" t="s">
        <v>352</v>
      </c>
      <c r="I32" s="78" t="s">
        <v>352</v>
      </c>
    </row>
    <row r="33" spans="1:10" ht="29.25" thickBot="1">
      <c r="A33" s="96">
        <v>23</v>
      </c>
      <c r="B33" s="97" t="s">
        <v>383</v>
      </c>
      <c r="C33" s="98" t="s">
        <v>378</v>
      </c>
      <c r="D33" s="99">
        <f>D31</f>
        <v>3750</v>
      </c>
      <c r="E33" s="100" t="s">
        <v>352</v>
      </c>
      <c r="F33" s="99">
        <f>F31</f>
        <v>3750</v>
      </c>
      <c r="G33" s="100" t="s">
        <v>352</v>
      </c>
      <c r="H33" s="99">
        <f>H31</f>
        <v>3750</v>
      </c>
      <c r="I33" s="101" t="s">
        <v>352</v>
      </c>
      <c r="J33" s="53">
        <f>((D33*D15)+(F33*F15)+(H33*H15))/(D15+F15+H15)</f>
        <v>3749.9999999999995</v>
      </c>
    </row>
    <row r="36" spans="1:10" ht="13.5">
      <c r="A36" s="56" t="s">
        <v>384</v>
      </c>
      <c r="B36" s="56"/>
      <c r="C36" s="56"/>
      <c r="D36" s="56"/>
      <c r="E36" s="56"/>
      <c r="F36" s="56"/>
      <c r="G36" s="56"/>
      <c r="H36" s="56"/>
      <c r="I36" s="56"/>
    </row>
    <row r="37" spans="1:10" ht="15">
      <c r="A37" s="102" t="s">
        <v>385</v>
      </c>
      <c r="B37" s="102"/>
      <c r="C37" s="103"/>
      <c r="D37" s="103"/>
      <c r="E37" s="103"/>
      <c r="F37" s="103"/>
      <c r="G37" s="103"/>
      <c r="H37" s="103"/>
      <c r="I37" s="103"/>
    </row>
    <row r="38" spans="1:10" ht="15">
      <c r="A38" s="104" t="s">
        <v>386</v>
      </c>
      <c r="B38" s="105"/>
      <c r="C38" s="106"/>
      <c r="D38" s="106"/>
      <c r="E38" s="106"/>
      <c r="F38" s="106"/>
      <c r="G38" s="106"/>
      <c r="H38" s="106"/>
      <c r="I38" s="106"/>
    </row>
    <row r="39" spans="1:10" ht="15">
      <c r="A39" s="102" t="s">
        <v>387</v>
      </c>
      <c r="B39" s="102"/>
      <c r="C39" s="103"/>
      <c r="D39" s="103"/>
      <c r="E39" s="103"/>
      <c r="F39" s="103"/>
      <c r="G39" s="103"/>
      <c r="H39" s="103"/>
      <c r="I39" s="103"/>
    </row>
    <row r="40" spans="1:10" ht="15">
      <c r="A40" s="104"/>
      <c r="B40" s="104"/>
      <c r="C40" s="106"/>
      <c r="D40" s="106"/>
      <c r="E40" s="106"/>
      <c r="F40" s="106"/>
      <c r="G40" s="106"/>
      <c r="H40" s="106"/>
      <c r="I40" s="106"/>
    </row>
    <row r="41" spans="1:10" ht="15">
      <c r="A41" s="105" t="s">
        <v>388</v>
      </c>
      <c r="B41" s="105"/>
    </row>
    <row r="43" spans="1:10">
      <c r="I43" s="107" t="s">
        <v>331</v>
      </c>
    </row>
  </sheetData>
  <mergeCells count="9">
    <mergeCell ref="A3:I3"/>
    <mergeCell ref="A8:A9"/>
    <mergeCell ref="B8:B10"/>
    <mergeCell ref="D8:E8"/>
    <mergeCell ref="F8:G8"/>
    <mergeCell ref="H8:I8"/>
    <mergeCell ref="D9:E9"/>
    <mergeCell ref="F9:G9"/>
    <mergeCell ref="H9:I9"/>
  </mergeCells>
  <printOptions horizontalCentered="1"/>
  <pageMargins left="0.75" right="0.5" top="1.52291666666667" bottom="1" header="1.1527777777777799" footer="0"/>
  <pageSetup scale="57" orientation="portrait" r:id="rId1"/>
  <headerFooter alignWithMargins="0"/>
</worksheet>
</file>

<file path=xl/worksheets/sheet32.xml><?xml version="1.0" encoding="utf-8"?>
<worksheet xmlns="http://schemas.openxmlformats.org/spreadsheetml/2006/main" xmlns:r="http://schemas.openxmlformats.org/officeDocument/2006/relationships">
  <sheetPr>
    <tabColor rgb="FF00B050"/>
    <outlinePr summaryBelow="0" summaryRight="0"/>
    <pageSetUpPr fitToPage="1"/>
  </sheetPr>
  <dimension ref="A1:M49"/>
  <sheetViews>
    <sheetView showGridLines="0" view="pageBreakPreview" zoomScale="80" zoomScaleNormal="70" zoomScaleSheetLayoutView="80" workbookViewId="0">
      <selection activeCell="T10" sqref="T10"/>
    </sheetView>
  </sheetViews>
  <sheetFormatPr defaultColWidth="9.33203125" defaultRowHeight="15.75"/>
  <cols>
    <col min="1" max="1" width="6.5" style="108" customWidth="1"/>
    <col min="2" max="2" width="43" style="108" customWidth="1"/>
    <col min="3" max="3" width="12.5" style="108" customWidth="1"/>
    <col min="4" max="4" width="22.33203125" style="108" customWidth="1"/>
    <col min="5" max="5" width="12" style="108" customWidth="1"/>
    <col min="6" max="6" width="22.6640625" style="108" customWidth="1"/>
    <col min="7" max="7" width="10.6640625" style="108" customWidth="1"/>
    <col min="8" max="8" width="27.83203125" style="108" customWidth="1"/>
    <col min="9" max="9" width="14.83203125" style="108" customWidth="1"/>
    <col min="10" max="10" width="17.1640625" style="108" hidden="1" customWidth="1"/>
    <col min="11" max="11" width="19.33203125" style="108" hidden="1" customWidth="1"/>
    <col min="12" max="12" width="17.5" style="108" hidden="1" customWidth="1"/>
    <col min="13" max="16384" width="9.33203125" style="108"/>
  </cols>
  <sheetData>
    <row r="1" spans="1:13">
      <c r="A1" s="108" t="s">
        <v>303</v>
      </c>
      <c r="I1" s="109" t="s">
        <v>333</v>
      </c>
    </row>
    <row r="2" spans="1:13">
      <c r="I2" s="109" t="s">
        <v>334</v>
      </c>
    </row>
    <row r="3" spans="1:13" s="110" customFormat="1" ht="18.75">
      <c r="A3" s="1804" t="s">
        <v>389</v>
      </c>
      <c r="B3" s="1804"/>
      <c r="C3" s="1804"/>
      <c r="D3" s="1804"/>
      <c r="E3" s="1804"/>
      <c r="F3" s="1804"/>
      <c r="G3" s="1804"/>
      <c r="H3" s="1804"/>
      <c r="I3" s="1804"/>
    </row>
    <row r="4" spans="1:13" s="110" customFormat="1"/>
    <row r="5" spans="1:13" s="111" customFormat="1">
      <c r="A5" s="111" t="s">
        <v>337</v>
      </c>
      <c r="C5" s="111" t="e">
        <f>#REF!</f>
        <v>#REF!</v>
      </c>
      <c r="I5" s="111" t="s">
        <v>390</v>
      </c>
    </row>
    <row r="6" spans="1:13" s="111" customFormat="1">
      <c r="A6" s="111" t="s">
        <v>338</v>
      </c>
      <c r="C6" s="112" t="e">
        <f>#REF!</f>
        <v>#REF!</v>
      </c>
    </row>
    <row r="7" spans="1:13" ht="16.5" thickBot="1"/>
    <row r="8" spans="1:13" s="114" customFormat="1" ht="16.7" customHeight="1">
      <c r="A8" s="1805" t="s">
        <v>391</v>
      </c>
      <c r="B8" s="1807" t="s">
        <v>340</v>
      </c>
      <c r="C8" s="113" t="s">
        <v>392</v>
      </c>
      <c r="D8" s="1809" t="s">
        <v>393</v>
      </c>
      <c r="E8" s="1809"/>
      <c r="F8" s="1809" t="s">
        <v>393</v>
      </c>
      <c r="G8" s="1809"/>
      <c r="H8" s="1809" t="s">
        <v>393</v>
      </c>
      <c r="I8" s="1810"/>
    </row>
    <row r="9" spans="1:13" s="114" customFormat="1" ht="33.75" customHeight="1">
      <c r="A9" s="1806"/>
      <c r="B9" s="1808"/>
      <c r="C9" s="115"/>
      <c r="D9" s="1811" t="s">
        <v>341</v>
      </c>
      <c r="E9" s="1811"/>
      <c r="F9" s="1812" t="s">
        <v>342</v>
      </c>
      <c r="G9" s="1812"/>
      <c r="H9" s="1812" t="s">
        <v>343</v>
      </c>
      <c r="I9" s="1813"/>
      <c r="M9" s="114" t="s">
        <v>386</v>
      </c>
    </row>
    <row r="10" spans="1:13" s="114" customFormat="1" ht="33" customHeight="1">
      <c r="A10" s="116"/>
      <c r="B10" s="1808"/>
      <c r="C10" s="115"/>
      <c r="D10" s="117" t="s">
        <v>348</v>
      </c>
      <c r="E10" s="118" t="s">
        <v>349</v>
      </c>
      <c r="F10" s="118" t="s">
        <v>348</v>
      </c>
      <c r="G10" s="118" t="s">
        <v>349</v>
      </c>
      <c r="H10" s="118" t="s">
        <v>348</v>
      </c>
      <c r="I10" s="119" t="s">
        <v>349</v>
      </c>
    </row>
    <row r="11" spans="1:13" s="114" customFormat="1" ht="39" customHeight="1">
      <c r="A11" s="120">
        <v>1</v>
      </c>
      <c r="B11" s="121" t="s">
        <v>394</v>
      </c>
      <c r="C11" s="122" t="s">
        <v>395</v>
      </c>
      <c r="D11" s="76">
        <v>342.19499999999999</v>
      </c>
      <c r="E11" s="77" t="s">
        <v>352</v>
      </c>
      <c r="F11" s="76">
        <v>682.77700000000004</v>
      </c>
      <c r="G11" s="77" t="s">
        <v>352</v>
      </c>
      <c r="H11" s="76">
        <v>337.91500000000002</v>
      </c>
      <c r="I11" s="77" t="s">
        <v>352</v>
      </c>
      <c r="J11" s="123">
        <v>547.71500000000003</v>
      </c>
      <c r="K11" s="124">
        <v>283.685</v>
      </c>
      <c r="L11" s="124">
        <v>414.40100000000001</v>
      </c>
    </row>
    <row r="12" spans="1:13" s="114" customFormat="1" ht="40.5" customHeight="1">
      <c r="A12" s="120">
        <v>2</v>
      </c>
      <c r="B12" s="125" t="s">
        <v>396</v>
      </c>
      <c r="C12" s="122" t="s">
        <v>395</v>
      </c>
      <c r="D12" s="76">
        <v>0</v>
      </c>
      <c r="E12" s="77" t="s">
        <v>352</v>
      </c>
      <c r="F12" s="76">
        <v>0</v>
      </c>
      <c r="G12" s="77" t="s">
        <v>352</v>
      </c>
      <c r="H12" s="76">
        <v>0</v>
      </c>
      <c r="I12" s="77" t="s">
        <v>352</v>
      </c>
    </row>
    <row r="13" spans="1:13" s="114" customFormat="1" ht="21" customHeight="1">
      <c r="A13" s="120">
        <v>3</v>
      </c>
      <c r="B13" s="125" t="s">
        <v>397</v>
      </c>
      <c r="C13" s="122" t="s">
        <v>395</v>
      </c>
      <c r="D13" s="76">
        <f>D11+D12</f>
        <v>342.19499999999999</v>
      </c>
      <c r="E13" s="77" t="s">
        <v>352</v>
      </c>
      <c r="F13" s="76">
        <f>F11+F12</f>
        <v>682.77700000000004</v>
      </c>
      <c r="G13" s="77" t="s">
        <v>352</v>
      </c>
      <c r="H13" s="76">
        <f>H11+H12</f>
        <v>337.91500000000002</v>
      </c>
      <c r="I13" s="77" t="s">
        <v>352</v>
      </c>
    </row>
    <row r="14" spans="1:13" s="114" customFormat="1" ht="31.5" customHeight="1">
      <c r="A14" s="120">
        <v>4</v>
      </c>
      <c r="B14" s="125" t="s">
        <v>358</v>
      </c>
      <c r="C14" s="122" t="s">
        <v>395</v>
      </c>
      <c r="D14" s="77" t="s">
        <v>352</v>
      </c>
      <c r="E14" s="77" t="s">
        <v>352</v>
      </c>
      <c r="F14" s="77" t="s">
        <v>352</v>
      </c>
      <c r="G14" s="77" t="s">
        <v>352</v>
      </c>
      <c r="H14" s="77" t="s">
        <v>352</v>
      </c>
      <c r="I14" s="77" t="s">
        <v>352</v>
      </c>
    </row>
    <row r="15" spans="1:13" s="114" customFormat="1" ht="28.5" customHeight="1">
      <c r="A15" s="120">
        <v>5</v>
      </c>
      <c r="B15" s="125" t="s">
        <v>398</v>
      </c>
      <c r="C15" s="122" t="s">
        <v>395</v>
      </c>
      <c r="D15" s="76">
        <f>D13</f>
        <v>342.19499999999999</v>
      </c>
      <c r="E15" s="77" t="s">
        <v>352</v>
      </c>
      <c r="F15" s="76">
        <f>F13</f>
        <v>682.77700000000004</v>
      </c>
      <c r="G15" s="77" t="s">
        <v>352</v>
      </c>
      <c r="H15" s="76">
        <f>H13</f>
        <v>337.91500000000002</v>
      </c>
      <c r="I15" s="77" t="s">
        <v>352</v>
      </c>
    </row>
    <row r="16" spans="1:13" s="114" customFormat="1" ht="30" customHeight="1">
      <c r="A16" s="120">
        <v>6</v>
      </c>
      <c r="B16" s="125" t="s">
        <v>399</v>
      </c>
      <c r="C16" s="122" t="s">
        <v>362</v>
      </c>
      <c r="D16" s="81">
        <v>20369212</v>
      </c>
      <c r="E16" s="77" t="s">
        <v>352</v>
      </c>
      <c r="F16" s="81">
        <v>40642411</v>
      </c>
      <c r="G16" s="77" t="s">
        <v>352</v>
      </c>
      <c r="H16" s="81">
        <v>20114444</v>
      </c>
      <c r="I16" s="77" t="s">
        <v>352</v>
      </c>
      <c r="J16" s="114">
        <v>33396970.489999998</v>
      </c>
      <c r="K16" s="114">
        <v>17297717.920000002</v>
      </c>
      <c r="L16" s="114">
        <v>25268137.57</v>
      </c>
    </row>
    <row r="17" spans="1:12" s="114" customFormat="1" ht="34.5" customHeight="1">
      <c r="A17" s="120">
        <v>7</v>
      </c>
      <c r="B17" s="125" t="s">
        <v>400</v>
      </c>
      <c r="C17" s="122" t="s">
        <v>362</v>
      </c>
      <c r="D17" s="81">
        <f>J17</f>
        <v>0</v>
      </c>
      <c r="E17" s="77" t="s">
        <v>352</v>
      </c>
      <c r="F17" s="81">
        <f>K17</f>
        <v>0</v>
      </c>
      <c r="G17" s="77" t="s">
        <v>352</v>
      </c>
      <c r="H17" s="81">
        <f>L17</f>
        <v>0</v>
      </c>
      <c r="I17" s="77" t="s">
        <v>352</v>
      </c>
    </row>
    <row r="18" spans="1:12" s="114" customFormat="1" ht="30.75" customHeight="1">
      <c r="A18" s="120">
        <v>8</v>
      </c>
      <c r="B18" s="122" t="s">
        <v>364</v>
      </c>
      <c r="C18" s="122" t="s">
        <v>362</v>
      </c>
      <c r="D18" s="85">
        <f>D16+D17</f>
        <v>20369212</v>
      </c>
      <c r="E18" s="86" t="s">
        <v>352</v>
      </c>
      <c r="F18" s="85">
        <f>F16+F17</f>
        <v>40642411</v>
      </c>
      <c r="G18" s="86" t="s">
        <v>352</v>
      </c>
      <c r="H18" s="85">
        <f>H16+H17</f>
        <v>20114444</v>
      </c>
      <c r="I18" s="86" t="s">
        <v>352</v>
      </c>
    </row>
    <row r="19" spans="1:12" ht="30.75" customHeight="1">
      <c r="A19" s="120">
        <v>9</v>
      </c>
      <c r="B19" s="125" t="s">
        <v>365</v>
      </c>
      <c r="C19" s="122" t="s">
        <v>366</v>
      </c>
      <c r="D19" s="81">
        <v>0</v>
      </c>
      <c r="E19" s="77" t="s">
        <v>352</v>
      </c>
      <c r="F19" s="81">
        <v>0</v>
      </c>
      <c r="G19" s="77" t="s">
        <v>352</v>
      </c>
      <c r="H19" s="81">
        <v>0</v>
      </c>
      <c r="I19" s="77" t="s">
        <v>352</v>
      </c>
      <c r="J19" s="108">
        <v>652860.93999999994</v>
      </c>
      <c r="K19" s="108">
        <v>338144.58</v>
      </c>
      <c r="L19" s="108">
        <v>493954.39</v>
      </c>
    </row>
    <row r="20" spans="1:12" ht="31.5">
      <c r="A20" s="120">
        <v>10</v>
      </c>
      <c r="B20" s="125" t="s">
        <v>367</v>
      </c>
      <c r="C20" s="122" t="s">
        <v>366</v>
      </c>
      <c r="D20" s="81">
        <v>0</v>
      </c>
      <c r="E20" s="77" t="s">
        <v>352</v>
      </c>
      <c r="F20" s="81">
        <v>0</v>
      </c>
      <c r="G20" s="77" t="s">
        <v>352</v>
      </c>
      <c r="H20" s="81">
        <v>0</v>
      </c>
      <c r="I20" s="77" t="s">
        <v>352</v>
      </c>
    </row>
    <row r="21" spans="1:12" ht="19.5" customHeight="1">
      <c r="A21" s="120">
        <v>11</v>
      </c>
      <c r="B21" s="125" t="s">
        <v>368</v>
      </c>
      <c r="C21" s="122" t="s">
        <v>366</v>
      </c>
      <c r="D21" s="81">
        <v>0</v>
      </c>
      <c r="E21" s="77" t="s">
        <v>352</v>
      </c>
      <c r="F21" s="81">
        <v>0</v>
      </c>
      <c r="G21" s="77" t="s">
        <v>352</v>
      </c>
      <c r="H21" s="81">
        <v>0</v>
      </c>
      <c r="I21" s="77" t="s">
        <v>352</v>
      </c>
    </row>
    <row r="22" spans="1:12" ht="31.5">
      <c r="A22" s="120">
        <v>12</v>
      </c>
      <c r="B22" s="125" t="s">
        <v>401</v>
      </c>
      <c r="C22" s="122" t="s">
        <v>366</v>
      </c>
      <c r="D22" s="81">
        <v>0</v>
      </c>
      <c r="E22" s="77" t="s">
        <v>352</v>
      </c>
      <c r="F22" s="81">
        <v>0</v>
      </c>
      <c r="G22" s="77" t="s">
        <v>352</v>
      </c>
      <c r="H22" s="81">
        <v>0</v>
      </c>
      <c r="I22" s="77" t="s">
        <v>352</v>
      </c>
      <c r="K22" s="108">
        <f>D24/D15</f>
        <v>59525.159631204435</v>
      </c>
    </row>
    <row r="23" spans="1:12" ht="31.5">
      <c r="A23" s="120">
        <v>13</v>
      </c>
      <c r="B23" s="125" t="s">
        <v>370</v>
      </c>
      <c r="C23" s="122" t="s">
        <v>366</v>
      </c>
      <c r="D23" s="85">
        <f>D19+D20-D21+D22</f>
        <v>0</v>
      </c>
      <c r="E23" s="86" t="s">
        <v>352</v>
      </c>
      <c r="F23" s="85">
        <f>F19+F20-F21+F22</f>
        <v>0</v>
      </c>
      <c r="G23" s="86" t="s">
        <v>352</v>
      </c>
      <c r="H23" s="85">
        <f>H19+H20-H21+H22</f>
        <v>0</v>
      </c>
      <c r="I23" s="86" t="s">
        <v>352</v>
      </c>
    </row>
    <row r="24" spans="1:12" ht="31.5">
      <c r="A24" s="120">
        <v>14</v>
      </c>
      <c r="B24" s="125" t="s">
        <v>402</v>
      </c>
      <c r="C24" s="122" t="s">
        <v>366</v>
      </c>
      <c r="D24" s="85">
        <f>D18+D23</f>
        <v>20369212</v>
      </c>
      <c r="E24" s="86" t="s">
        <v>352</v>
      </c>
      <c r="F24" s="85">
        <f>F18+F23</f>
        <v>40642411</v>
      </c>
      <c r="G24" s="86" t="s">
        <v>352</v>
      </c>
      <c r="H24" s="85">
        <f>H18+H23</f>
        <v>20114444</v>
      </c>
      <c r="I24" s="86" t="s">
        <v>352</v>
      </c>
    </row>
    <row r="25" spans="1:12">
      <c r="A25" s="126">
        <v>15</v>
      </c>
      <c r="B25" s="127" t="s">
        <v>403</v>
      </c>
      <c r="C25" s="128" t="s">
        <v>404</v>
      </c>
      <c r="D25" s="89">
        <f>D24/D15</f>
        <v>59525.159631204435</v>
      </c>
      <c r="E25" s="77" t="s">
        <v>352</v>
      </c>
      <c r="F25" s="89">
        <f>F24/(F15)</f>
        <v>59525.161216619774</v>
      </c>
      <c r="G25" s="77" t="s">
        <v>352</v>
      </c>
      <c r="H25" s="89">
        <f>H24/(H15)</f>
        <v>59525.15869375434</v>
      </c>
      <c r="I25" s="77" t="s">
        <v>352</v>
      </c>
    </row>
    <row r="26" spans="1:12">
      <c r="A26" s="120">
        <v>16</v>
      </c>
      <c r="B26" s="125" t="s">
        <v>374</v>
      </c>
      <c r="C26" s="115"/>
      <c r="D26" s="77" t="s">
        <v>352</v>
      </c>
      <c r="E26" s="77" t="s">
        <v>352</v>
      </c>
      <c r="F26" s="77" t="s">
        <v>352</v>
      </c>
      <c r="G26" s="77" t="s">
        <v>352</v>
      </c>
      <c r="H26" s="77" t="s">
        <v>352</v>
      </c>
      <c r="I26" s="77" t="s">
        <v>352</v>
      </c>
    </row>
    <row r="27" spans="1:12" ht="47.25">
      <c r="A27" s="120">
        <v>17</v>
      </c>
      <c r="B27" s="125" t="s">
        <v>405</v>
      </c>
      <c r="C27" s="125" t="s">
        <v>406</v>
      </c>
      <c r="D27" s="91">
        <f>D25</f>
        <v>59525.159631204435</v>
      </c>
      <c r="E27" s="77" t="s">
        <v>352</v>
      </c>
      <c r="F27" s="91">
        <f>F25</f>
        <v>59525.161216619774</v>
      </c>
      <c r="G27" s="77" t="s">
        <v>352</v>
      </c>
      <c r="H27" s="91">
        <f>H25</f>
        <v>59525.15869375434</v>
      </c>
      <c r="I27" s="77" t="s">
        <v>352</v>
      </c>
      <c r="J27" s="129">
        <f>SUM(D24:I24)/SUM(D15:I15)</f>
        <v>59525.160193031414</v>
      </c>
    </row>
    <row r="28" spans="1:12" ht="31.5">
      <c r="A28" s="120">
        <v>18</v>
      </c>
      <c r="B28" s="125" t="s">
        <v>407</v>
      </c>
      <c r="C28" s="117" t="s">
        <v>408</v>
      </c>
      <c r="D28" s="130" t="s">
        <v>352</v>
      </c>
      <c r="E28" s="77" t="s">
        <v>352</v>
      </c>
      <c r="F28" s="130" t="s">
        <v>352</v>
      </c>
      <c r="G28" s="77" t="s">
        <v>352</v>
      </c>
      <c r="H28" s="130" t="s">
        <v>352</v>
      </c>
      <c r="I28" s="77" t="s">
        <v>352</v>
      </c>
      <c r="J28" s="131">
        <f>J27/1000000</f>
        <v>5.9525160193031411E-2</v>
      </c>
    </row>
    <row r="29" spans="1:12" ht="31.5">
      <c r="A29" s="120">
        <v>19</v>
      </c>
      <c r="B29" s="125" t="s">
        <v>409</v>
      </c>
      <c r="C29" s="117" t="s">
        <v>408</v>
      </c>
      <c r="D29" s="77" t="s">
        <v>352</v>
      </c>
      <c r="E29" s="77" t="s">
        <v>352</v>
      </c>
      <c r="F29" s="77" t="s">
        <v>352</v>
      </c>
      <c r="G29" s="77" t="s">
        <v>352</v>
      </c>
      <c r="H29" s="77" t="s">
        <v>352</v>
      </c>
      <c r="I29" s="77" t="s">
        <v>352</v>
      </c>
    </row>
    <row r="30" spans="1:12" ht="28.5" customHeight="1">
      <c r="A30" s="120">
        <v>20</v>
      </c>
      <c r="B30" s="125" t="s">
        <v>410</v>
      </c>
      <c r="C30" s="117" t="s">
        <v>408</v>
      </c>
      <c r="D30" s="77" t="s">
        <v>352</v>
      </c>
      <c r="E30" s="77" t="s">
        <v>352</v>
      </c>
      <c r="F30" s="77" t="s">
        <v>352</v>
      </c>
      <c r="G30" s="77" t="s">
        <v>352</v>
      </c>
      <c r="H30" s="77" t="s">
        <v>352</v>
      </c>
      <c r="I30" s="77" t="s">
        <v>352</v>
      </c>
    </row>
    <row r="31" spans="1:12" ht="28.5" customHeight="1">
      <c r="A31" s="120">
        <v>21</v>
      </c>
      <c r="B31" s="121" t="s">
        <v>411</v>
      </c>
      <c r="C31" s="117" t="s">
        <v>408</v>
      </c>
      <c r="D31" s="81">
        <v>10500</v>
      </c>
      <c r="E31" s="77" t="s">
        <v>352</v>
      </c>
      <c r="F31" s="81">
        <v>10200</v>
      </c>
      <c r="G31" s="77" t="s">
        <v>352</v>
      </c>
      <c r="H31" s="81">
        <v>10200</v>
      </c>
      <c r="I31" s="77" t="s">
        <v>352</v>
      </c>
      <c r="J31" s="108">
        <v>10500</v>
      </c>
      <c r="K31" s="108">
        <v>10500</v>
      </c>
      <c r="L31" s="108">
        <v>10500</v>
      </c>
    </row>
    <row r="32" spans="1:12" ht="27" customHeight="1">
      <c r="A32" s="120">
        <v>22</v>
      </c>
      <c r="B32" s="121" t="s">
        <v>412</v>
      </c>
      <c r="C32" s="117" t="s">
        <v>408</v>
      </c>
      <c r="D32" s="95" t="s">
        <v>352</v>
      </c>
      <c r="E32" s="77" t="s">
        <v>352</v>
      </c>
      <c r="F32" s="95" t="s">
        <v>352</v>
      </c>
      <c r="G32" s="77" t="s">
        <v>352</v>
      </c>
      <c r="H32" s="95" t="s">
        <v>352</v>
      </c>
      <c r="I32" s="77" t="s">
        <v>352</v>
      </c>
    </row>
    <row r="33" spans="1:10" ht="27" customHeight="1" thickBot="1">
      <c r="A33" s="132">
        <v>23</v>
      </c>
      <c r="B33" s="133" t="s">
        <v>413</v>
      </c>
      <c r="C33" s="134" t="s">
        <v>408</v>
      </c>
      <c r="D33" s="81">
        <f>D31</f>
        <v>10500</v>
      </c>
      <c r="E33" s="77" t="s">
        <v>352</v>
      </c>
      <c r="F33" s="81">
        <f>F31</f>
        <v>10200</v>
      </c>
      <c r="G33" s="77" t="s">
        <v>352</v>
      </c>
      <c r="H33" s="81">
        <f>H31</f>
        <v>10200</v>
      </c>
      <c r="I33" s="77" t="s">
        <v>352</v>
      </c>
      <c r="J33" s="135">
        <f>(D33*D15+F33*F15+H33*H15)/(D15+F15+H15)</f>
        <v>10275.324293209929</v>
      </c>
    </row>
    <row r="36" spans="1:10">
      <c r="A36" s="111" t="s">
        <v>384</v>
      </c>
      <c r="B36" s="111"/>
      <c r="C36" s="111"/>
      <c r="D36" s="111"/>
      <c r="E36" s="111"/>
      <c r="F36" s="111"/>
      <c r="G36" s="111"/>
      <c r="H36" s="111"/>
      <c r="I36" s="111"/>
    </row>
    <row r="37" spans="1:10" ht="40.5" customHeight="1">
      <c r="A37" s="1803" t="s">
        <v>385</v>
      </c>
      <c r="B37" s="1803"/>
      <c r="C37" s="1803"/>
      <c r="D37" s="1803"/>
      <c r="E37" s="1803"/>
      <c r="F37" s="1803"/>
      <c r="G37" s="1803"/>
      <c r="H37" s="1803"/>
      <c r="I37" s="1803"/>
    </row>
    <row r="38" spans="1:10">
      <c r="A38" s="136" t="s">
        <v>386</v>
      </c>
      <c r="C38" s="136"/>
      <c r="D38" s="136"/>
      <c r="E38" s="136"/>
      <c r="F38" s="136"/>
      <c r="G38" s="136"/>
      <c r="H38" s="136"/>
      <c r="I38" s="136"/>
    </row>
    <row r="39" spans="1:10">
      <c r="A39" s="137"/>
      <c r="B39" s="137"/>
      <c r="C39" s="137"/>
      <c r="D39" s="137"/>
      <c r="E39" s="137"/>
      <c r="F39" s="137"/>
      <c r="G39" s="137"/>
      <c r="H39" s="137"/>
      <c r="I39" s="137"/>
    </row>
    <row r="40" spans="1:10">
      <c r="A40" s="136"/>
      <c r="B40" s="136"/>
      <c r="C40" s="136"/>
      <c r="D40" s="136"/>
      <c r="E40" s="136"/>
      <c r="F40" s="136"/>
      <c r="G40" s="136"/>
      <c r="H40" s="136"/>
      <c r="I40" s="136"/>
    </row>
    <row r="44" spans="1:10">
      <c r="H44" s="138" t="s">
        <v>331</v>
      </c>
    </row>
    <row r="46" spans="1:10" hidden="1"/>
    <row r="47" spans="1:10" hidden="1">
      <c r="D47" s="108">
        <f>D33*D15+F33*F15+H33*H15</f>
        <v>14004105.9</v>
      </c>
    </row>
    <row r="48" spans="1:10" hidden="1">
      <c r="D48" s="108">
        <f>D47/(D15+F15+H15)</f>
        <v>10275.324293209929</v>
      </c>
    </row>
    <row r="49" hidden="1"/>
  </sheetData>
  <mergeCells count="10">
    <mergeCell ref="A37:I37"/>
    <mergeCell ref="A3:I3"/>
    <mergeCell ref="A8:A9"/>
    <mergeCell ref="B8:B10"/>
    <mergeCell ref="D8:E8"/>
    <mergeCell ref="F8:G8"/>
    <mergeCell ref="H8:I8"/>
    <mergeCell ref="D9:E9"/>
    <mergeCell ref="F9:G9"/>
    <mergeCell ref="H9:I9"/>
  </mergeCells>
  <printOptions horizontalCentered="1"/>
  <pageMargins left="0.7" right="0.7" top="0.75" bottom="0.75" header="0.3" footer="0.3"/>
  <pageSetup scale="58" orientation="portrait" r:id="rId1"/>
  <headerFooter alignWithMargins="0"/>
</worksheet>
</file>

<file path=xl/worksheets/sheet33.xml><?xml version="1.0" encoding="utf-8"?>
<worksheet xmlns="http://schemas.openxmlformats.org/spreadsheetml/2006/main" xmlns:r="http://schemas.openxmlformats.org/officeDocument/2006/relationships">
  <dimension ref="A1:L43"/>
  <sheetViews>
    <sheetView workbookViewId="0">
      <selection activeCell="B12" sqref="B12"/>
    </sheetView>
  </sheetViews>
  <sheetFormatPr defaultColWidth="9.33203125" defaultRowHeight="15.75"/>
  <cols>
    <col min="1" max="1" width="12" style="184" customWidth="1"/>
    <col min="2" max="2" width="18.5" style="184" customWidth="1"/>
    <col min="3" max="3" width="15.5" style="184" customWidth="1"/>
    <col min="4" max="4" width="22.1640625" style="184" customWidth="1"/>
    <col min="5" max="5" width="18" style="184" customWidth="1"/>
    <col min="6" max="6" width="9.33203125" style="184"/>
    <col min="7" max="7" width="13.6640625" style="184" customWidth="1"/>
    <col min="8" max="8" width="15" style="184" customWidth="1"/>
    <col min="9" max="9" width="13.33203125" style="184" customWidth="1"/>
    <col min="10" max="10" width="11.33203125" style="184" customWidth="1"/>
    <col min="11" max="11" width="11.83203125" style="184" customWidth="1"/>
    <col min="12" max="12" width="18.1640625" style="184" customWidth="1"/>
    <col min="13" max="16384" width="9.33203125" style="184"/>
  </cols>
  <sheetData>
    <row r="1" spans="1:12">
      <c r="A1" s="299" t="s">
        <v>710</v>
      </c>
      <c r="B1" s="299"/>
      <c r="C1" s="299"/>
      <c r="D1" s="299"/>
    </row>
    <row r="2" spans="1:12">
      <c r="A2" s="1819" t="s">
        <v>711</v>
      </c>
      <c r="B2" s="1820"/>
      <c r="C2" s="1820"/>
      <c r="D2" s="1820"/>
      <c r="E2" s="1820"/>
      <c r="F2" s="1820"/>
      <c r="G2" s="1820"/>
      <c r="H2" s="1820"/>
      <c r="I2" s="1820"/>
      <c r="J2" s="1820"/>
      <c r="K2" s="1820"/>
      <c r="L2" s="1821"/>
    </row>
    <row r="3" spans="1:12">
      <c r="A3" s="1814" t="s">
        <v>306</v>
      </c>
      <c r="B3" s="1815"/>
      <c r="C3" s="1816"/>
      <c r="D3" s="1822" t="s">
        <v>464</v>
      </c>
      <c r="E3" s="1823"/>
      <c r="F3" s="1823"/>
      <c r="G3" s="1823"/>
      <c r="H3" s="1823"/>
      <c r="I3" s="1823"/>
      <c r="J3" s="1823"/>
      <c r="K3" s="1823"/>
      <c r="L3" s="1824"/>
    </row>
    <row r="4" spans="1:12">
      <c r="A4" s="1817" t="s">
        <v>623</v>
      </c>
      <c r="B4" s="1817"/>
      <c r="C4" s="1817"/>
      <c r="D4" s="1822" t="s">
        <v>461</v>
      </c>
      <c r="E4" s="1823"/>
      <c r="F4" s="1823"/>
      <c r="G4" s="1823"/>
      <c r="H4" s="1823"/>
      <c r="I4" s="1823"/>
      <c r="J4" s="1823"/>
      <c r="K4" s="1823"/>
      <c r="L4" s="1824"/>
    </row>
    <row r="5" spans="1:12" ht="110.25">
      <c r="A5" s="339" t="s">
        <v>712</v>
      </c>
      <c r="B5" s="340" t="s">
        <v>713</v>
      </c>
      <c r="C5" s="340" t="s">
        <v>714</v>
      </c>
      <c r="D5" s="340" t="s">
        <v>715</v>
      </c>
      <c r="E5" s="340" t="s">
        <v>716</v>
      </c>
      <c r="F5" s="340" t="s">
        <v>717</v>
      </c>
      <c r="G5" s="340" t="s">
        <v>718</v>
      </c>
      <c r="H5" s="340" t="s">
        <v>719</v>
      </c>
      <c r="I5" s="340" t="s">
        <v>720</v>
      </c>
      <c r="J5" s="340" t="s">
        <v>721</v>
      </c>
      <c r="K5" s="340" t="s">
        <v>722</v>
      </c>
      <c r="L5" s="340" t="s">
        <v>723</v>
      </c>
    </row>
    <row r="6" spans="1:12" ht="47.25">
      <c r="A6" s="341">
        <v>1</v>
      </c>
      <c r="B6" s="305" t="s">
        <v>707</v>
      </c>
      <c r="C6" s="305" t="s">
        <v>708</v>
      </c>
      <c r="D6" s="331" t="s">
        <v>727</v>
      </c>
      <c r="E6" s="305" t="s">
        <v>733</v>
      </c>
      <c r="F6" s="306" t="s">
        <v>352</v>
      </c>
      <c r="G6" s="305" t="s">
        <v>736</v>
      </c>
      <c r="H6" s="305" t="s">
        <v>739</v>
      </c>
      <c r="I6" s="305"/>
      <c r="J6" s="342">
        <v>2998</v>
      </c>
      <c r="K6" s="342">
        <v>485</v>
      </c>
      <c r="L6" s="342">
        <v>3255</v>
      </c>
    </row>
    <row r="7" spans="1:12" ht="31.5">
      <c r="A7" s="341">
        <v>2</v>
      </c>
      <c r="B7" s="305" t="s">
        <v>707</v>
      </c>
      <c r="C7" s="305" t="s">
        <v>708</v>
      </c>
      <c r="D7" s="331" t="s">
        <v>728</v>
      </c>
      <c r="E7" s="305" t="s">
        <v>733</v>
      </c>
      <c r="F7" s="306" t="s">
        <v>352</v>
      </c>
      <c r="G7" s="305" t="s">
        <v>736</v>
      </c>
      <c r="H7" s="305" t="s">
        <v>740</v>
      </c>
      <c r="I7" s="305"/>
      <c r="J7" s="342">
        <v>464</v>
      </c>
      <c r="K7" s="342">
        <v>99</v>
      </c>
      <c r="L7" s="342">
        <v>560</v>
      </c>
    </row>
    <row r="8" spans="1:12" ht="31.5">
      <c r="A8" s="341">
        <v>3</v>
      </c>
      <c r="B8" s="305" t="s">
        <v>707</v>
      </c>
      <c r="C8" s="305" t="s">
        <v>708</v>
      </c>
      <c r="D8" s="331" t="s">
        <v>729</v>
      </c>
      <c r="E8" s="305" t="s">
        <v>733</v>
      </c>
      <c r="F8" s="306" t="s">
        <v>352</v>
      </c>
      <c r="G8" s="305" t="s">
        <v>736</v>
      </c>
      <c r="H8" s="305" t="s">
        <v>741</v>
      </c>
      <c r="I8" s="305"/>
      <c r="J8" s="342">
        <v>610</v>
      </c>
      <c r="K8" s="342">
        <v>122</v>
      </c>
      <c r="L8" s="342">
        <v>673</v>
      </c>
    </row>
    <row r="9" spans="1:12" ht="47.25">
      <c r="A9" s="341">
        <v>4</v>
      </c>
      <c r="B9" s="305" t="s">
        <v>709</v>
      </c>
      <c r="C9" s="305" t="s">
        <v>725</v>
      </c>
      <c r="D9" s="331" t="s">
        <v>730</v>
      </c>
      <c r="E9" s="305" t="s">
        <v>734</v>
      </c>
      <c r="F9" s="306">
        <v>13</v>
      </c>
      <c r="G9" s="305" t="s">
        <v>737</v>
      </c>
      <c r="H9" s="305" t="s">
        <v>742</v>
      </c>
      <c r="I9" s="305"/>
      <c r="J9" s="342">
        <v>490</v>
      </c>
      <c r="K9" s="342">
        <v>33</v>
      </c>
      <c r="L9" s="1818">
        <v>867</v>
      </c>
    </row>
    <row r="10" spans="1:12" ht="47.25">
      <c r="A10" s="341">
        <v>5</v>
      </c>
      <c r="B10" s="305" t="s">
        <v>709</v>
      </c>
      <c r="C10" s="305" t="s">
        <v>725</v>
      </c>
      <c r="D10" s="331" t="s">
        <v>731</v>
      </c>
      <c r="E10" s="305" t="s">
        <v>734</v>
      </c>
      <c r="F10" s="306">
        <v>13</v>
      </c>
      <c r="G10" s="305" t="s">
        <v>737</v>
      </c>
      <c r="H10" s="305" t="s">
        <v>742</v>
      </c>
      <c r="I10" s="305"/>
      <c r="J10" s="342">
        <v>483</v>
      </c>
      <c r="K10" s="342">
        <v>32</v>
      </c>
      <c r="L10" s="1818"/>
    </row>
    <row r="11" spans="1:12" ht="63">
      <c r="A11" s="341">
        <v>6</v>
      </c>
      <c r="B11" s="331" t="s">
        <v>724</v>
      </c>
      <c r="C11" s="331" t="s">
        <v>726</v>
      </c>
      <c r="D11" s="331" t="s">
        <v>732</v>
      </c>
      <c r="E11" s="331" t="s">
        <v>735</v>
      </c>
      <c r="F11" s="306">
        <v>1</v>
      </c>
      <c r="G11" s="305" t="s">
        <v>738</v>
      </c>
      <c r="H11" s="305"/>
      <c r="I11" s="305"/>
      <c r="J11" s="342">
        <v>23</v>
      </c>
      <c r="K11" s="342"/>
      <c r="L11" s="342">
        <v>23</v>
      </c>
    </row>
    <row r="12" spans="1:12" ht="220.5">
      <c r="A12" s="341">
        <v>7</v>
      </c>
      <c r="B12" s="330" t="s">
        <v>743</v>
      </c>
    </row>
    <row r="13" spans="1:12">
      <c r="A13" s="341">
        <v>8</v>
      </c>
    </row>
    <row r="14" spans="1:12">
      <c r="A14" s="341">
        <v>9</v>
      </c>
    </row>
    <row r="15" spans="1:12">
      <c r="A15" s="341">
        <v>10</v>
      </c>
    </row>
    <row r="16" spans="1:12">
      <c r="A16" s="341">
        <v>11</v>
      </c>
    </row>
    <row r="17" spans="1:1">
      <c r="A17" s="341">
        <v>12</v>
      </c>
    </row>
    <row r="18" spans="1:1">
      <c r="A18" s="341">
        <v>13</v>
      </c>
    </row>
    <row r="19" spans="1:1">
      <c r="A19" s="341">
        <v>14</v>
      </c>
    </row>
    <row r="20" spans="1:1">
      <c r="A20" s="341">
        <v>15</v>
      </c>
    </row>
    <row r="21" spans="1:1">
      <c r="A21" s="341">
        <v>16</v>
      </c>
    </row>
    <row r="22" spans="1:1">
      <c r="A22" s="341">
        <v>17</v>
      </c>
    </row>
    <row r="23" spans="1:1">
      <c r="A23" s="341">
        <v>18</v>
      </c>
    </row>
    <row r="24" spans="1:1">
      <c r="A24" s="341">
        <v>19</v>
      </c>
    </row>
    <row r="25" spans="1:1">
      <c r="A25" s="341">
        <v>20</v>
      </c>
    </row>
    <row r="26" spans="1:1">
      <c r="A26" s="341">
        <v>21</v>
      </c>
    </row>
    <row r="27" spans="1:1">
      <c r="A27" s="341">
        <v>22</v>
      </c>
    </row>
    <row r="28" spans="1:1">
      <c r="A28" s="341">
        <v>23</v>
      </c>
    </row>
    <row r="29" spans="1:1">
      <c r="A29" s="341">
        <v>24</v>
      </c>
    </row>
    <row r="30" spans="1:1">
      <c r="A30" s="341">
        <v>25</v>
      </c>
    </row>
    <row r="31" spans="1:1">
      <c r="A31" s="341">
        <v>26</v>
      </c>
    </row>
    <row r="32" spans="1:1">
      <c r="A32" s="341">
        <v>27</v>
      </c>
    </row>
    <row r="33" spans="1:1">
      <c r="A33" s="341">
        <v>28</v>
      </c>
    </row>
    <row r="34" spans="1:1">
      <c r="A34" s="341">
        <v>29</v>
      </c>
    </row>
    <row r="35" spans="1:1">
      <c r="A35" s="341">
        <v>30</v>
      </c>
    </row>
    <row r="36" spans="1:1">
      <c r="A36" s="341">
        <v>31</v>
      </c>
    </row>
    <row r="37" spans="1:1">
      <c r="A37" s="341">
        <v>32</v>
      </c>
    </row>
    <row r="38" spans="1:1">
      <c r="A38" s="341">
        <v>33</v>
      </c>
    </row>
    <row r="39" spans="1:1">
      <c r="A39" s="341">
        <v>34</v>
      </c>
    </row>
    <row r="40" spans="1:1">
      <c r="A40" s="341">
        <v>35</v>
      </c>
    </row>
    <row r="41" spans="1:1">
      <c r="A41" s="341">
        <v>36</v>
      </c>
    </row>
    <row r="42" spans="1:1">
      <c r="A42" s="341">
        <v>37</v>
      </c>
    </row>
    <row r="43" spans="1:1">
      <c r="A43" s="341">
        <v>38</v>
      </c>
    </row>
  </sheetData>
  <mergeCells count="6">
    <mergeCell ref="A3:C3"/>
    <mergeCell ref="A4:C4"/>
    <mergeCell ref="L9:L10"/>
    <mergeCell ref="A2:L2"/>
    <mergeCell ref="D3:L3"/>
    <mergeCell ref="D4:L4"/>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3:F44"/>
  <sheetViews>
    <sheetView topLeftCell="A31" workbookViewId="0">
      <selection activeCell="M67" sqref="M67"/>
    </sheetView>
  </sheetViews>
  <sheetFormatPr defaultRowHeight="12.75"/>
  <cols>
    <col min="1" max="1" width="11.83203125" customWidth="1"/>
    <col min="2" max="2" width="15" customWidth="1"/>
    <col min="3" max="3" width="13.6640625" customWidth="1"/>
    <col min="4" max="4" width="14.33203125" customWidth="1"/>
    <col min="5" max="5" width="15" customWidth="1"/>
    <col min="6" max="6" width="15.83203125" customWidth="1"/>
  </cols>
  <sheetData>
    <row r="3" spans="1:6" ht="13.5" thickBot="1"/>
    <row r="4" spans="1:6" ht="13.5" thickBot="1">
      <c r="A4" s="1831" t="s">
        <v>627</v>
      </c>
      <c r="B4" s="1832"/>
      <c r="C4" s="1832"/>
      <c r="D4" s="1832"/>
      <c r="E4" s="1832"/>
      <c r="F4" s="1833"/>
    </row>
    <row r="5" spans="1:6" ht="13.5" thickBot="1">
      <c r="A5" s="1831" t="s">
        <v>628</v>
      </c>
      <c r="B5" s="1832"/>
      <c r="C5" s="1832"/>
      <c r="D5" s="1832"/>
      <c r="E5" s="1832"/>
      <c r="F5" s="1833"/>
    </row>
    <row r="6" spans="1:6" ht="13.5" thickBot="1">
      <c r="A6" s="1834" t="s">
        <v>629</v>
      </c>
      <c r="B6" s="1835"/>
      <c r="C6" s="1835"/>
      <c r="D6" s="1835"/>
      <c r="E6" s="1835"/>
      <c r="F6" s="1836"/>
    </row>
    <row r="7" spans="1:6" ht="13.5" thickBot="1">
      <c r="A7" s="1834" t="s">
        <v>630</v>
      </c>
      <c r="B7" s="1835"/>
      <c r="C7" s="1835"/>
      <c r="D7" s="1835"/>
      <c r="E7" s="1835"/>
      <c r="F7" s="1836"/>
    </row>
    <row r="8" spans="1:6" ht="13.5" thickBot="1">
      <c r="A8" s="1837" t="s">
        <v>631</v>
      </c>
      <c r="B8" s="1838"/>
      <c r="C8" s="1838"/>
      <c r="D8" s="1838"/>
      <c r="E8" s="1838"/>
      <c r="F8" s="1839"/>
    </row>
    <row r="9" spans="1:6">
      <c r="A9" s="307" t="s">
        <v>632</v>
      </c>
      <c r="B9" s="1840" t="s">
        <v>418</v>
      </c>
      <c r="C9" s="308" t="s">
        <v>633</v>
      </c>
      <c r="D9" s="308" t="s">
        <v>633</v>
      </c>
      <c r="E9" s="308" t="s">
        <v>633</v>
      </c>
      <c r="F9" s="308" t="s">
        <v>633</v>
      </c>
    </row>
    <row r="10" spans="1:6" ht="13.5" thickBot="1">
      <c r="A10" s="309" t="s">
        <v>634</v>
      </c>
      <c r="B10" s="1841"/>
      <c r="C10" s="310" t="s">
        <v>635</v>
      </c>
      <c r="D10" s="310" t="s">
        <v>636</v>
      </c>
      <c r="E10" s="310" t="s">
        <v>637</v>
      </c>
      <c r="F10" s="310" t="s">
        <v>638</v>
      </c>
    </row>
    <row r="11" spans="1:6" ht="13.5" thickBot="1">
      <c r="A11" s="311">
        <v>1</v>
      </c>
      <c r="B11" s="312">
        <v>2</v>
      </c>
      <c r="C11" s="312">
        <v>5</v>
      </c>
      <c r="D11" s="312">
        <v>6</v>
      </c>
      <c r="E11" s="312">
        <v>7</v>
      </c>
      <c r="F11" s="312">
        <v>8</v>
      </c>
    </row>
    <row r="12" spans="1:6" ht="13.5" thickBot="1">
      <c r="A12" s="311"/>
      <c r="B12" s="313" t="s">
        <v>639</v>
      </c>
      <c r="C12" s="312"/>
      <c r="D12" s="312"/>
      <c r="E12" s="312"/>
      <c r="F12" s="312"/>
    </row>
    <row r="13" spans="1:6" ht="24.75" thickBot="1">
      <c r="A13" s="311"/>
      <c r="B13" s="313" t="s">
        <v>640</v>
      </c>
      <c r="C13" s="314">
        <v>3478.66</v>
      </c>
      <c r="D13" s="314">
        <v>3980</v>
      </c>
      <c r="E13" s="314">
        <v>3980</v>
      </c>
      <c r="F13" s="314">
        <v>3980</v>
      </c>
    </row>
    <row r="14" spans="1:6" ht="48.75" thickBot="1">
      <c r="A14" s="311"/>
      <c r="B14" s="315" t="s">
        <v>641</v>
      </c>
      <c r="C14" s="316" t="s">
        <v>529</v>
      </c>
      <c r="D14" s="316" t="s">
        <v>642</v>
      </c>
      <c r="E14" s="316">
        <v>165.83</v>
      </c>
      <c r="F14" s="316">
        <v>497.5</v>
      </c>
    </row>
    <row r="15" spans="1:6" ht="24.75" thickBot="1">
      <c r="A15" s="311"/>
      <c r="B15" s="315" t="s">
        <v>643</v>
      </c>
      <c r="C15" s="314">
        <v>3478.66</v>
      </c>
      <c r="D15" s="314">
        <v>3980</v>
      </c>
      <c r="E15" s="314">
        <v>3814.17</v>
      </c>
      <c r="F15" s="314">
        <v>3482.5</v>
      </c>
    </row>
    <row r="16" spans="1:6" ht="24.75" thickBot="1">
      <c r="A16" s="311"/>
      <c r="B16" s="315" t="s">
        <v>644</v>
      </c>
      <c r="C16" s="316">
        <v>501.34</v>
      </c>
      <c r="D16" s="316"/>
      <c r="E16" s="316"/>
      <c r="F16" s="316"/>
    </row>
    <row r="17" spans="1:6" ht="48.75" thickBot="1">
      <c r="A17" s="311"/>
      <c r="B17" s="315" t="s">
        <v>645</v>
      </c>
      <c r="C17" s="316">
        <v>0</v>
      </c>
      <c r="D17" s="316">
        <v>165.83</v>
      </c>
      <c r="E17" s="316">
        <v>331.67</v>
      </c>
      <c r="F17" s="316">
        <v>331.67</v>
      </c>
    </row>
    <row r="18" spans="1:6" ht="24.75" thickBot="1">
      <c r="A18" s="311"/>
      <c r="B18" s="315" t="s">
        <v>646</v>
      </c>
      <c r="C18" s="314">
        <f>C15+C16-C17</f>
        <v>3980</v>
      </c>
      <c r="D18" s="314">
        <f>D15+D16-D17</f>
        <v>3814.17</v>
      </c>
      <c r="E18" s="314">
        <f>E15+E16-E17</f>
        <v>3482.5</v>
      </c>
      <c r="F18" s="314">
        <f>F15+F16-F17</f>
        <v>3150.83</v>
      </c>
    </row>
    <row r="19" spans="1:6" ht="24.75" thickBot="1">
      <c r="A19" s="311"/>
      <c r="B19" s="315" t="s">
        <v>647</v>
      </c>
      <c r="C19" s="314">
        <f>AVERAGE(C15,C18)</f>
        <v>3729.33</v>
      </c>
      <c r="D19" s="314">
        <f>AVERAGE(D15,D18)</f>
        <v>3897.085</v>
      </c>
      <c r="E19" s="314">
        <f>AVERAGE(E15,E18)</f>
        <v>3648.335</v>
      </c>
      <c r="F19" s="314">
        <f>AVERAGE(F15,F18)</f>
        <v>3316.665</v>
      </c>
    </row>
    <row r="20" spans="1:6" ht="36.75" thickBot="1">
      <c r="A20" s="311"/>
      <c r="B20" s="313" t="s">
        <v>648</v>
      </c>
      <c r="C20" s="317">
        <v>0.114</v>
      </c>
      <c r="D20" s="317">
        <v>0.114</v>
      </c>
      <c r="E20" s="317">
        <v>0.114</v>
      </c>
      <c r="F20" s="317">
        <v>0.114</v>
      </c>
    </row>
    <row r="21" spans="1:6" ht="24.75" thickBot="1">
      <c r="A21" s="311"/>
      <c r="B21" s="315" t="s">
        <v>426</v>
      </c>
      <c r="C21" s="318">
        <f>C19*C20</f>
        <v>425.14362</v>
      </c>
      <c r="D21" s="318">
        <f>D19*D20</f>
        <v>444.26769000000002</v>
      </c>
      <c r="E21" s="318">
        <f>E19*E20</f>
        <v>415.91019</v>
      </c>
      <c r="F21" s="318">
        <f>F19*F20</f>
        <v>378.09980999999999</v>
      </c>
    </row>
    <row r="22" spans="1:6" ht="13.5" thickBot="1">
      <c r="A22" s="319"/>
      <c r="B22" s="315"/>
      <c r="C22" s="316"/>
      <c r="D22" s="316"/>
      <c r="E22" s="316"/>
      <c r="F22" s="316"/>
    </row>
    <row r="23" spans="1:6" ht="13.5" thickBot="1">
      <c r="A23" s="319"/>
      <c r="B23" s="313" t="s">
        <v>649</v>
      </c>
      <c r="C23" s="316"/>
      <c r="D23" s="316"/>
      <c r="E23" s="316"/>
      <c r="F23" s="316"/>
    </row>
    <row r="24" spans="1:6" ht="24.75" thickBot="1">
      <c r="A24" s="319"/>
      <c r="B24" s="313" t="s">
        <v>640</v>
      </c>
      <c r="C24" s="316"/>
      <c r="D24" s="316">
        <v>700</v>
      </c>
      <c r="E24" s="314">
        <v>1795</v>
      </c>
      <c r="F24" s="314">
        <v>1795</v>
      </c>
    </row>
    <row r="25" spans="1:6" ht="48.75" thickBot="1">
      <c r="A25" s="319"/>
      <c r="B25" s="315" t="s">
        <v>641</v>
      </c>
      <c r="C25" s="316"/>
      <c r="D25" s="316" t="s">
        <v>642</v>
      </c>
      <c r="E25" s="316">
        <v>74.790000000000006</v>
      </c>
      <c r="F25" s="316">
        <v>224.38</v>
      </c>
    </row>
    <row r="26" spans="1:6" ht="24.75" thickBot="1">
      <c r="A26" s="319"/>
      <c r="B26" s="315" t="s">
        <v>643</v>
      </c>
      <c r="C26" s="316">
        <v>0</v>
      </c>
      <c r="D26" s="316">
        <v>700</v>
      </c>
      <c r="E26" s="314">
        <v>1720.21</v>
      </c>
      <c r="F26" s="314">
        <v>1570.63</v>
      </c>
    </row>
    <row r="27" spans="1:6" ht="24.75" thickBot="1">
      <c r="A27" s="319"/>
      <c r="B27" s="315" t="s">
        <v>644</v>
      </c>
      <c r="C27" s="320">
        <v>700</v>
      </c>
      <c r="D27" s="321">
        <v>1095</v>
      </c>
      <c r="E27" s="316"/>
      <c r="F27" s="316"/>
    </row>
    <row r="28" spans="1:6" ht="48.75" thickBot="1">
      <c r="A28" s="319"/>
      <c r="B28" s="315" t="s">
        <v>645</v>
      </c>
      <c r="C28" s="316">
        <v>0</v>
      </c>
      <c r="D28" s="316">
        <v>74.790000000000006</v>
      </c>
      <c r="E28" s="316">
        <v>149.58000000000001</v>
      </c>
      <c r="F28" s="316">
        <v>149.58000000000001</v>
      </c>
    </row>
    <row r="29" spans="1:6" ht="24.75" thickBot="1">
      <c r="A29" s="319"/>
      <c r="B29" s="315" t="s">
        <v>646</v>
      </c>
      <c r="C29" s="314">
        <f>C26+C27-C28</f>
        <v>700</v>
      </c>
      <c r="D29" s="314">
        <f>D26+D27-D28</f>
        <v>1720.21</v>
      </c>
      <c r="E29" s="314">
        <f>E26+E27-E28</f>
        <v>1570.63</v>
      </c>
      <c r="F29" s="314">
        <f>F26+F27-F28</f>
        <v>1421.0500000000002</v>
      </c>
    </row>
    <row r="30" spans="1:6" ht="24.75" thickBot="1">
      <c r="A30" s="319"/>
      <c r="B30" s="315" t="s">
        <v>647</v>
      </c>
      <c r="C30" s="314">
        <f>AVERAGE(C26,C29)</f>
        <v>350</v>
      </c>
      <c r="D30" s="314">
        <f>AVERAGE(D26,D29)</f>
        <v>1210.105</v>
      </c>
      <c r="E30" s="314">
        <f>AVERAGE(E26,E29)</f>
        <v>1645.42</v>
      </c>
      <c r="F30" s="314">
        <f>AVERAGE(F26,F29)</f>
        <v>1495.8400000000001</v>
      </c>
    </row>
    <row r="31" spans="1:6" ht="36.75" thickBot="1">
      <c r="A31" s="319"/>
      <c r="B31" s="313" t="s">
        <v>648</v>
      </c>
      <c r="C31" s="317">
        <v>9.2899999999999996E-2</v>
      </c>
      <c r="D31" s="317">
        <v>9.2899999999999996E-2</v>
      </c>
      <c r="E31" s="317">
        <v>9.2899999999999996E-2</v>
      </c>
      <c r="F31" s="317">
        <v>9.2899999999999996E-2</v>
      </c>
    </row>
    <row r="32" spans="1:6" ht="24.75" thickBot="1">
      <c r="A32" s="319"/>
      <c r="B32" s="315" t="s">
        <v>426</v>
      </c>
      <c r="C32" s="322">
        <f>C30*C31</f>
        <v>32.515000000000001</v>
      </c>
      <c r="D32" s="322">
        <f>D30*D31</f>
        <v>112.41875449999999</v>
      </c>
      <c r="E32" s="322">
        <f>E30*E31</f>
        <v>152.85951800000001</v>
      </c>
      <c r="F32" s="322">
        <f>F30*F31</f>
        <v>138.963536</v>
      </c>
    </row>
    <row r="33" spans="1:6" ht="13.5" thickBot="1">
      <c r="A33" s="319"/>
      <c r="B33" s="313" t="s">
        <v>650</v>
      </c>
      <c r="C33" s="316"/>
      <c r="D33" s="316"/>
      <c r="E33" s="316"/>
      <c r="F33" s="316"/>
    </row>
    <row r="34" spans="1:6" ht="24.75" thickBot="1">
      <c r="A34" s="319"/>
      <c r="B34" s="313" t="s">
        <v>651</v>
      </c>
      <c r="C34" s="314">
        <f>C13+C24</f>
        <v>3478.66</v>
      </c>
      <c r="D34" s="314">
        <f>D13+D24</f>
        <v>4680</v>
      </c>
      <c r="E34" s="314">
        <f>E13+E24</f>
        <v>5775</v>
      </c>
      <c r="F34" s="314">
        <f>F13+F24</f>
        <v>5775</v>
      </c>
    </row>
    <row r="35" spans="1:6" ht="48.75" thickBot="1">
      <c r="A35" s="319"/>
      <c r="B35" s="315" t="s">
        <v>641</v>
      </c>
      <c r="C35" s="316"/>
      <c r="D35" s="316" t="s">
        <v>642</v>
      </c>
      <c r="E35" s="316">
        <f>E14+E25</f>
        <v>240.62</v>
      </c>
      <c r="F35" s="316">
        <f>F14+F25</f>
        <v>721.88</v>
      </c>
    </row>
    <row r="36" spans="1:6" ht="24.75" thickBot="1">
      <c r="A36" s="319"/>
      <c r="B36" s="315" t="s">
        <v>643</v>
      </c>
      <c r="C36" s="314">
        <f>C26+C15</f>
        <v>3478.66</v>
      </c>
      <c r="D36" s="314">
        <f>D26+D15</f>
        <v>4680</v>
      </c>
      <c r="E36" s="314">
        <f>E26+E15</f>
        <v>5534.38</v>
      </c>
      <c r="F36" s="314">
        <f>F26+F15</f>
        <v>5053.13</v>
      </c>
    </row>
    <row r="37" spans="1:6" ht="24.75" thickBot="1">
      <c r="A37" s="319"/>
      <c r="B37" s="315" t="s">
        <v>644</v>
      </c>
      <c r="C37" s="314">
        <f>C16+C27</f>
        <v>1201.3399999999999</v>
      </c>
      <c r="D37" s="314">
        <f>D16+D27</f>
        <v>1095</v>
      </c>
      <c r="E37" s="316" t="s">
        <v>642</v>
      </c>
      <c r="F37" s="316" t="s">
        <v>652</v>
      </c>
    </row>
    <row r="38" spans="1:6" ht="48.75" thickBot="1">
      <c r="A38" s="319"/>
      <c r="B38" s="315" t="s">
        <v>645</v>
      </c>
      <c r="C38" s="316" t="s">
        <v>653</v>
      </c>
      <c r="D38" s="316">
        <f t="shared" ref="D38:F39" si="0">D17+D28</f>
        <v>240.62</v>
      </c>
      <c r="E38" s="316">
        <f t="shared" si="0"/>
        <v>481.25</v>
      </c>
      <c r="F38" s="316">
        <f t="shared" si="0"/>
        <v>481.25</v>
      </c>
    </row>
    <row r="39" spans="1:6" ht="24.75" thickBot="1">
      <c r="A39" s="319"/>
      <c r="B39" s="315" t="s">
        <v>646</v>
      </c>
      <c r="C39" s="314">
        <f>C18+C29</f>
        <v>4680</v>
      </c>
      <c r="D39" s="314">
        <f t="shared" si="0"/>
        <v>5534.38</v>
      </c>
      <c r="E39" s="314">
        <f t="shared" si="0"/>
        <v>5053.13</v>
      </c>
      <c r="F39" s="314">
        <f t="shared" si="0"/>
        <v>4571.88</v>
      </c>
    </row>
    <row r="40" spans="1:6" ht="24.75" thickBot="1">
      <c r="A40" s="319"/>
      <c r="B40" s="315" t="s">
        <v>647</v>
      </c>
      <c r="C40" s="314">
        <f>AVERAGE(C36,C39)</f>
        <v>4079.33</v>
      </c>
      <c r="D40" s="314">
        <f>AVERAGE(D36,D39)</f>
        <v>5107.1900000000005</v>
      </c>
      <c r="E40" s="314">
        <f>AVERAGE(E36,E39)</f>
        <v>5293.7550000000001</v>
      </c>
      <c r="F40" s="314">
        <f>AVERAGE(F36,F39)</f>
        <v>4812.5050000000001</v>
      </c>
    </row>
    <row r="41" spans="1:6" ht="36.75" thickBot="1">
      <c r="A41" s="319"/>
      <c r="B41" s="313" t="s">
        <v>648</v>
      </c>
      <c r="C41" s="317">
        <f>C42/C40</f>
        <v>0.11218965369313098</v>
      </c>
      <c r="D41" s="317">
        <f>D42/D40</f>
        <v>0.10900053542163106</v>
      </c>
      <c r="E41" s="317">
        <f>E42/E40</f>
        <v>0.10744163792997599</v>
      </c>
      <c r="F41" s="317">
        <f>F42/F40</f>
        <v>0.10744162260610639</v>
      </c>
    </row>
    <row r="42" spans="1:6" ht="24.75" thickBot="1">
      <c r="A42" s="319"/>
      <c r="B42" s="315" t="s">
        <v>426</v>
      </c>
      <c r="C42" s="318">
        <f>C21+C32</f>
        <v>457.65861999999998</v>
      </c>
      <c r="D42" s="318">
        <f>D21+D32</f>
        <v>556.68644449999999</v>
      </c>
      <c r="E42" s="318">
        <f>E21+E32</f>
        <v>568.76970800000004</v>
      </c>
      <c r="F42" s="318">
        <f>F21+F32</f>
        <v>517.06334600000002</v>
      </c>
    </row>
    <row r="43" spans="1:6">
      <c r="A43" s="1825" t="s">
        <v>654</v>
      </c>
      <c r="B43" s="1826"/>
      <c r="C43" s="1826"/>
      <c r="D43" s="1826"/>
      <c r="E43" s="1826"/>
      <c r="F43" s="1827"/>
    </row>
    <row r="44" spans="1:6" ht="13.5" thickBot="1">
      <c r="A44" s="1828"/>
      <c r="B44" s="1829"/>
      <c r="C44" s="1829"/>
      <c r="D44" s="1829"/>
      <c r="E44" s="1829"/>
      <c r="F44" s="1830"/>
    </row>
  </sheetData>
  <mergeCells count="7">
    <mergeCell ref="A43:F44"/>
    <mergeCell ref="A4:F4"/>
    <mergeCell ref="A5:F5"/>
    <mergeCell ref="A6:F6"/>
    <mergeCell ref="A7:F7"/>
    <mergeCell ref="A8:F8"/>
    <mergeCell ref="B9:B10"/>
  </mergeCells>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U16"/>
  <sheetViews>
    <sheetView workbookViewId="0">
      <selection activeCell="I22" sqref="I22"/>
    </sheetView>
  </sheetViews>
  <sheetFormatPr defaultColWidth="9.33203125" defaultRowHeight="15"/>
  <cols>
    <col min="1" max="16384" width="9.33203125" style="323"/>
  </cols>
  <sheetData>
    <row r="1" spans="1:21" ht="15.75" thickBot="1">
      <c r="A1" s="1848" t="s">
        <v>660</v>
      </c>
      <c r="B1" s="1849"/>
      <c r="C1" s="1849"/>
      <c r="D1" s="1849"/>
      <c r="E1" s="1849"/>
      <c r="F1" s="1849"/>
      <c r="G1" s="1849"/>
      <c r="H1" s="1849"/>
      <c r="I1" s="1849"/>
      <c r="J1" s="1849"/>
      <c r="K1" s="1849"/>
      <c r="L1" s="1849"/>
      <c r="M1" s="1849"/>
      <c r="N1" s="1849"/>
      <c r="O1" s="1849"/>
      <c r="P1" s="1849"/>
      <c r="Q1" s="1849"/>
      <c r="R1" s="1849"/>
      <c r="S1" s="1849"/>
      <c r="T1" s="1849"/>
      <c r="U1" s="1850"/>
    </row>
    <row r="2" spans="1:21" ht="15.75" thickBot="1">
      <c r="A2" s="1851" t="s">
        <v>306</v>
      </c>
      <c r="B2" s="1852"/>
      <c r="C2" s="1852"/>
      <c r="D2" s="1852"/>
      <c r="E2" s="1852"/>
      <c r="F2" s="1852"/>
      <c r="G2" s="1853"/>
      <c r="H2" s="1854" t="s">
        <v>464</v>
      </c>
      <c r="I2" s="1855"/>
      <c r="J2" s="1855"/>
      <c r="K2" s="1855"/>
      <c r="L2" s="1855"/>
      <c r="M2" s="1855"/>
      <c r="N2" s="1855"/>
      <c r="O2" s="1855"/>
      <c r="P2" s="1855"/>
      <c r="Q2" s="1855"/>
      <c r="R2" s="1855"/>
      <c r="S2" s="1855"/>
      <c r="T2" s="1855"/>
      <c r="U2" s="1856"/>
    </row>
    <row r="3" spans="1:21" ht="15.75" thickBot="1">
      <c r="A3" s="1851" t="s">
        <v>307</v>
      </c>
      <c r="B3" s="1852"/>
      <c r="C3" s="1852"/>
      <c r="D3" s="1852"/>
      <c r="E3" s="1852"/>
      <c r="F3" s="1852"/>
      <c r="G3" s="1853"/>
      <c r="H3" s="1854" t="s">
        <v>661</v>
      </c>
      <c r="I3" s="1855"/>
      <c r="J3" s="1855"/>
      <c r="K3" s="1855"/>
      <c r="L3" s="1855"/>
      <c r="M3" s="1855"/>
      <c r="N3" s="1855"/>
      <c r="O3" s="1855"/>
      <c r="P3" s="1855"/>
      <c r="Q3" s="1855"/>
      <c r="R3" s="1855"/>
      <c r="S3" s="1855"/>
      <c r="T3" s="1855"/>
      <c r="U3" s="1856"/>
    </row>
    <row r="4" spans="1:21" ht="15.75" thickBot="1">
      <c r="A4" s="1842" t="s">
        <v>662</v>
      </c>
      <c r="B4" s="1843"/>
      <c r="C4" s="1843"/>
      <c r="D4" s="1843"/>
      <c r="E4" s="1843"/>
      <c r="F4" s="1843"/>
      <c r="G4" s="1843"/>
      <c r="H4" s="1843"/>
      <c r="I4" s="1843"/>
      <c r="J4" s="1843"/>
      <c r="K4" s="1844"/>
      <c r="L4" s="1845"/>
      <c r="M4" s="1846"/>
      <c r="N4" s="1846"/>
      <c r="O4" s="1846"/>
      <c r="P4" s="1846"/>
      <c r="Q4" s="1846"/>
      <c r="R4" s="1846"/>
      <c r="S4" s="1846"/>
      <c r="T4" s="1846"/>
      <c r="U4" s="1847"/>
    </row>
    <row r="5" spans="1:21">
      <c r="A5" s="1857" t="s">
        <v>663</v>
      </c>
      <c r="B5" s="1857" t="s">
        <v>418</v>
      </c>
      <c r="C5" s="324" t="s">
        <v>633</v>
      </c>
      <c r="D5" s="324" t="s">
        <v>633</v>
      </c>
      <c r="E5" s="324" t="s">
        <v>633</v>
      </c>
      <c r="F5" s="324" t="s">
        <v>633</v>
      </c>
      <c r="G5" s="1860" t="s">
        <v>633</v>
      </c>
      <c r="H5" s="1861"/>
      <c r="I5" s="324" t="s">
        <v>633</v>
      </c>
      <c r="J5" s="324" t="s">
        <v>633</v>
      </c>
      <c r="K5" s="324" t="s">
        <v>633</v>
      </c>
      <c r="L5" s="324" t="s">
        <v>633</v>
      </c>
      <c r="M5" s="324" t="s">
        <v>633</v>
      </c>
      <c r="N5" s="324" t="s">
        <v>633</v>
      </c>
      <c r="O5" s="324" t="s">
        <v>633</v>
      </c>
      <c r="P5" s="324" t="s">
        <v>633</v>
      </c>
      <c r="Q5" s="324" t="s">
        <v>633</v>
      </c>
      <c r="R5" s="324" t="s">
        <v>633</v>
      </c>
      <c r="S5" s="324" t="s">
        <v>633</v>
      </c>
      <c r="T5" s="324" t="s">
        <v>633</v>
      </c>
      <c r="U5" s="1862" t="s">
        <v>664</v>
      </c>
    </row>
    <row r="6" spans="1:21">
      <c r="A6" s="1858"/>
      <c r="B6" s="1858"/>
      <c r="C6" s="324" t="s">
        <v>665</v>
      </c>
      <c r="D6" s="324" t="s">
        <v>666</v>
      </c>
      <c r="E6" s="324" t="s">
        <v>667</v>
      </c>
      <c r="F6" s="324" t="s">
        <v>668</v>
      </c>
      <c r="G6" s="1865" t="s">
        <v>669</v>
      </c>
      <c r="H6" s="1866"/>
      <c r="I6" s="324" t="s">
        <v>670</v>
      </c>
      <c r="J6" s="324" t="s">
        <v>671</v>
      </c>
      <c r="K6" s="324" t="s">
        <v>672</v>
      </c>
      <c r="L6" s="324" t="s">
        <v>673</v>
      </c>
      <c r="M6" s="324" t="s">
        <v>674</v>
      </c>
      <c r="N6" s="324" t="s">
        <v>675</v>
      </c>
      <c r="O6" s="324" t="s">
        <v>676</v>
      </c>
      <c r="P6" s="324" t="s">
        <v>677</v>
      </c>
      <c r="Q6" s="324" t="s">
        <v>678</v>
      </c>
      <c r="R6" s="324" t="s">
        <v>679</v>
      </c>
      <c r="S6" s="324" t="s">
        <v>680</v>
      </c>
      <c r="T6" s="324" t="s">
        <v>681</v>
      </c>
      <c r="U6" s="1863"/>
    </row>
    <row r="7" spans="1:21" ht="34.5" thickBot="1">
      <c r="A7" s="1859"/>
      <c r="B7" s="1859"/>
      <c r="C7" s="325"/>
      <c r="D7" s="325"/>
      <c r="E7" s="325"/>
      <c r="F7" s="325"/>
      <c r="G7" s="1867"/>
      <c r="H7" s="1868"/>
      <c r="I7" s="325"/>
      <c r="J7" s="325"/>
      <c r="K7" s="325"/>
      <c r="L7" s="325"/>
      <c r="M7" s="325"/>
      <c r="N7" s="325"/>
      <c r="O7" s="325"/>
      <c r="P7" s="325"/>
      <c r="Q7" s="325"/>
      <c r="R7" s="325"/>
      <c r="S7" s="325"/>
      <c r="T7" s="326" t="s">
        <v>682</v>
      </c>
      <c r="U7" s="1864"/>
    </row>
    <row r="8" spans="1:21" ht="15.75" thickBot="1">
      <c r="A8" s="1869">
        <v>1</v>
      </c>
      <c r="B8" s="1870"/>
      <c r="C8" s="1870"/>
      <c r="D8" s="1870"/>
      <c r="E8" s="1871"/>
      <c r="F8" s="1872" t="s">
        <v>683</v>
      </c>
      <c r="G8" s="1873"/>
      <c r="H8" s="1873"/>
      <c r="I8" s="1873"/>
      <c r="J8" s="1873"/>
      <c r="K8" s="1874"/>
      <c r="L8" s="1869" t="s">
        <v>352</v>
      </c>
      <c r="M8" s="1870"/>
      <c r="N8" s="1870"/>
      <c r="O8" s="1870"/>
      <c r="P8" s="1875"/>
      <c r="Q8" s="1876"/>
      <c r="R8" s="1870"/>
      <c r="S8" s="1870"/>
      <c r="T8" s="1870"/>
      <c r="U8" s="1875"/>
    </row>
    <row r="9" spans="1:21" ht="15.75" thickBot="1">
      <c r="A9" s="1869">
        <v>2</v>
      </c>
      <c r="B9" s="1870"/>
      <c r="C9" s="1870"/>
      <c r="D9" s="1870"/>
      <c r="E9" s="1871"/>
      <c r="F9" s="1872" t="s">
        <v>684</v>
      </c>
      <c r="G9" s="1873"/>
      <c r="H9" s="1873"/>
      <c r="I9" s="1873"/>
      <c r="J9" s="1873"/>
      <c r="K9" s="1874"/>
      <c r="L9" s="1869" t="s">
        <v>685</v>
      </c>
      <c r="M9" s="1870"/>
      <c r="N9" s="1870"/>
      <c r="O9" s="1870"/>
      <c r="P9" s="1870"/>
      <c r="Q9" s="1870"/>
      <c r="R9" s="1870"/>
      <c r="S9" s="1870"/>
      <c r="T9" s="1870"/>
      <c r="U9" s="1875"/>
    </row>
    <row r="10" spans="1:21" ht="45.75" thickBot="1">
      <c r="A10" s="327">
        <v>2.1</v>
      </c>
      <c r="B10" s="328" t="s">
        <v>686</v>
      </c>
      <c r="C10" s="328"/>
      <c r="D10" s="328"/>
      <c r="E10" s="328"/>
      <c r="F10" s="328"/>
      <c r="G10" s="1872"/>
      <c r="H10" s="1874"/>
      <c r="I10" s="328"/>
      <c r="J10" s="328"/>
      <c r="K10" s="328"/>
      <c r="L10" s="328"/>
      <c r="M10" s="328"/>
      <c r="N10" s="328"/>
      <c r="O10" s="328"/>
      <c r="P10" s="328"/>
      <c r="Q10" s="328"/>
      <c r="R10" s="328"/>
      <c r="S10" s="328"/>
      <c r="T10" s="328"/>
      <c r="U10" s="328"/>
    </row>
    <row r="11" spans="1:21" ht="34.5" thickBot="1">
      <c r="A11" s="327">
        <v>2.2000000000000002</v>
      </c>
      <c r="B11" s="328" t="s">
        <v>687</v>
      </c>
      <c r="C11" s="329">
        <v>345.15</v>
      </c>
      <c r="D11" s="329">
        <v>6.13</v>
      </c>
      <c r="E11" s="329">
        <v>0</v>
      </c>
      <c r="F11" s="329">
        <v>22.74</v>
      </c>
      <c r="G11" s="1869">
        <v>195.39</v>
      </c>
      <c r="H11" s="1871"/>
      <c r="I11" s="329">
        <v>260.07</v>
      </c>
      <c r="J11" s="329">
        <v>146.63</v>
      </c>
      <c r="K11" s="329">
        <v>237.18</v>
      </c>
      <c r="L11" s="329">
        <v>203.29</v>
      </c>
      <c r="M11" s="329">
        <v>755.52</v>
      </c>
      <c r="N11" s="329">
        <v>205.47</v>
      </c>
      <c r="O11" s="329">
        <v>342.23</v>
      </c>
      <c r="P11" s="329">
        <v>344.32</v>
      </c>
      <c r="Q11" s="329">
        <v>415.13</v>
      </c>
      <c r="R11" s="329">
        <v>175.75</v>
      </c>
      <c r="S11" s="329">
        <v>144.44</v>
      </c>
      <c r="T11" s="329">
        <v>155.32</v>
      </c>
      <c r="U11" s="329">
        <v>926</v>
      </c>
    </row>
    <row r="12" spans="1:21" ht="15.75" thickBot="1">
      <c r="A12" s="327">
        <v>2.2999999999999998</v>
      </c>
      <c r="B12" s="328" t="s">
        <v>688</v>
      </c>
      <c r="C12" s="329">
        <v>345.15</v>
      </c>
      <c r="D12" s="329">
        <v>351.28</v>
      </c>
      <c r="E12" s="329">
        <v>351.28</v>
      </c>
      <c r="F12" s="329">
        <v>374.02</v>
      </c>
      <c r="G12" s="1869">
        <v>569.41</v>
      </c>
      <c r="H12" s="1871"/>
      <c r="I12" s="329">
        <v>829.48</v>
      </c>
      <c r="J12" s="329">
        <v>976.11</v>
      </c>
      <c r="K12" s="329">
        <v>1213.2</v>
      </c>
      <c r="L12" s="329">
        <v>1416.5</v>
      </c>
      <c r="M12" s="329">
        <v>2172.1</v>
      </c>
      <c r="N12" s="329">
        <v>2377.5</v>
      </c>
      <c r="O12" s="329">
        <v>2719.8</v>
      </c>
      <c r="P12" s="329">
        <v>3064.1</v>
      </c>
      <c r="Q12" s="329">
        <v>3479.2</v>
      </c>
      <c r="R12" s="329">
        <v>3655</v>
      </c>
      <c r="S12" s="329">
        <v>3799.4</v>
      </c>
      <c r="T12" s="329">
        <v>3954.7</v>
      </c>
      <c r="U12" s="329">
        <v>4880.7</v>
      </c>
    </row>
    <row r="13" spans="1:21" ht="15.75" thickBot="1">
      <c r="A13" s="327">
        <v>2.4</v>
      </c>
      <c r="B13" s="328" t="s">
        <v>564</v>
      </c>
      <c r="C13" s="329">
        <v>6.13</v>
      </c>
      <c r="D13" s="329">
        <v>10.73</v>
      </c>
      <c r="E13" s="329">
        <v>10.73</v>
      </c>
      <c r="F13" s="329">
        <v>10.86</v>
      </c>
      <c r="G13" s="1869">
        <v>14.72</v>
      </c>
      <c r="H13" s="1871"/>
      <c r="I13" s="329">
        <v>19.88</v>
      </c>
      <c r="J13" s="329">
        <v>26.61</v>
      </c>
      <c r="K13" s="329">
        <v>33.74</v>
      </c>
      <c r="L13" s="329">
        <v>41.01</v>
      </c>
      <c r="M13" s="329">
        <v>53.09</v>
      </c>
      <c r="N13" s="329">
        <v>67.790000000000006</v>
      </c>
      <c r="O13" s="329">
        <v>77.53</v>
      </c>
      <c r="P13" s="329">
        <v>89.15</v>
      </c>
      <c r="Q13" s="329">
        <v>96.6</v>
      </c>
      <c r="R13" s="329">
        <v>105.95</v>
      </c>
      <c r="S13" s="329">
        <v>112.53</v>
      </c>
      <c r="T13" s="329">
        <v>117.45</v>
      </c>
      <c r="U13" s="329">
        <v>163.21</v>
      </c>
    </row>
    <row r="14" spans="1:21" ht="23.25" thickBot="1">
      <c r="A14" s="327">
        <v>2.5</v>
      </c>
      <c r="B14" s="328" t="s">
        <v>689</v>
      </c>
      <c r="C14" s="329">
        <v>0</v>
      </c>
      <c r="D14" s="329">
        <v>0</v>
      </c>
      <c r="E14" s="329">
        <v>0</v>
      </c>
      <c r="F14" s="329">
        <v>0.03</v>
      </c>
      <c r="G14" s="1869">
        <v>0.04</v>
      </c>
      <c r="H14" s="1871"/>
      <c r="I14" s="329">
        <v>0.05</v>
      </c>
      <c r="J14" s="329">
        <v>0.09</v>
      </c>
      <c r="K14" s="329">
        <v>0</v>
      </c>
      <c r="L14" s="329">
        <v>0.01</v>
      </c>
      <c r="M14" s="329">
        <v>0.02</v>
      </c>
      <c r="N14" s="329">
        <v>0</v>
      </c>
      <c r="O14" s="329">
        <v>0.02</v>
      </c>
      <c r="P14" s="329">
        <v>0</v>
      </c>
      <c r="Q14" s="329">
        <v>0.01</v>
      </c>
      <c r="R14" s="329">
        <v>0</v>
      </c>
      <c r="S14" s="329">
        <v>0</v>
      </c>
      <c r="T14" s="328">
        <v>0</v>
      </c>
      <c r="U14" s="328">
        <v>1.73</v>
      </c>
    </row>
    <row r="15" spans="1:21" ht="23.25" thickBot="1">
      <c r="A15" s="327">
        <v>2.6</v>
      </c>
      <c r="B15" s="328" t="s">
        <v>690</v>
      </c>
      <c r="C15" s="328" t="s">
        <v>691</v>
      </c>
      <c r="D15" s="328" t="s">
        <v>692</v>
      </c>
      <c r="E15" s="328" t="s">
        <v>692</v>
      </c>
      <c r="F15" s="328" t="s">
        <v>692</v>
      </c>
      <c r="G15" s="1872" t="s">
        <v>692</v>
      </c>
      <c r="H15" s="1874"/>
      <c r="I15" s="328" t="s">
        <v>692</v>
      </c>
      <c r="J15" s="328" t="s">
        <v>692</v>
      </c>
      <c r="K15" s="328" t="s">
        <v>692</v>
      </c>
      <c r="L15" s="328" t="s">
        <v>692</v>
      </c>
      <c r="M15" s="328" t="s">
        <v>692</v>
      </c>
      <c r="N15" s="328" t="s">
        <v>692</v>
      </c>
      <c r="O15" s="328" t="s">
        <v>692</v>
      </c>
      <c r="P15" s="328" t="s">
        <v>692</v>
      </c>
      <c r="Q15" s="328" t="s">
        <v>692</v>
      </c>
      <c r="R15" s="328" t="s">
        <v>692</v>
      </c>
      <c r="S15" s="328" t="s">
        <v>692</v>
      </c>
      <c r="T15" s="328" t="s">
        <v>692</v>
      </c>
      <c r="U15" s="328" t="s">
        <v>691</v>
      </c>
    </row>
    <row r="16" spans="1:21" ht="15.75" thickBot="1">
      <c r="A16" s="1872" t="s">
        <v>693</v>
      </c>
      <c r="B16" s="1873"/>
      <c r="C16" s="1873"/>
      <c r="D16" s="1873"/>
      <c r="E16" s="1873"/>
      <c r="F16" s="1873"/>
      <c r="G16" s="1873"/>
      <c r="H16" s="1873"/>
      <c r="I16" s="1873"/>
      <c r="J16" s="1873"/>
      <c r="K16" s="1873"/>
      <c r="L16" s="1873"/>
      <c r="M16" s="1873"/>
      <c r="N16" s="1873"/>
      <c r="O16" s="1873"/>
      <c r="P16" s="1873"/>
      <c r="Q16" s="1873"/>
      <c r="R16" s="1873"/>
      <c r="S16" s="1873"/>
      <c r="T16" s="1873"/>
      <c r="U16" s="1877"/>
    </row>
  </sheetData>
  <mergeCells count="27">
    <mergeCell ref="A16:U16"/>
    <mergeCell ref="G10:H10"/>
    <mergeCell ref="G11:H11"/>
    <mergeCell ref="G12:H12"/>
    <mergeCell ref="G13:H13"/>
    <mergeCell ref="G14:H14"/>
    <mergeCell ref="G15:H15"/>
    <mergeCell ref="A8:E8"/>
    <mergeCell ref="F8:K8"/>
    <mergeCell ref="L8:P8"/>
    <mergeCell ref="Q8:U8"/>
    <mergeCell ref="A9:E9"/>
    <mergeCell ref="F9:K9"/>
    <mergeCell ref="L9:U9"/>
    <mergeCell ref="A5:A7"/>
    <mergeCell ref="B5:B7"/>
    <mergeCell ref="G5:H5"/>
    <mergeCell ref="U5:U7"/>
    <mergeCell ref="G6:H6"/>
    <mergeCell ref="G7:H7"/>
    <mergeCell ref="A4:K4"/>
    <mergeCell ref="L4:U4"/>
    <mergeCell ref="A1:U1"/>
    <mergeCell ref="A2:G2"/>
    <mergeCell ref="H2:U2"/>
    <mergeCell ref="A3:G3"/>
    <mergeCell ref="H3:U3"/>
  </mergeCells>
  <pageMargins left="0.7" right="0.7" top="0.75" bottom="0.75" header="0.3" footer="0.3"/>
</worksheet>
</file>

<file path=xl/worksheets/sheet36.xml><?xml version="1.0" encoding="utf-8"?>
<worksheet xmlns="http://schemas.openxmlformats.org/spreadsheetml/2006/main" xmlns:r="http://schemas.openxmlformats.org/officeDocument/2006/relationships">
  <sheetPr>
    <tabColor rgb="FF00B050"/>
  </sheetPr>
  <dimension ref="A1:J24"/>
  <sheetViews>
    <sheetView workbookViewId="0">
      <selection activeCell="O11" sqref="O11"/>
    </sheetView>
  </sheetViews>
  <sheetFormatPr defaultColWidth="9.1640625" defaultRowHeight="15.75"/>
  <cols>
    <col min="1" max="1" width="4.5" style="1245" customWidth="1"/>
    <col min="2" max="2" width="3.33203125" style="1245" customWidth="1"/>
    <col min="3" max="3" width="25.1640625" style="1245" customWidth="1"/>
    <col min="4" max="4" width="9.6640625" style="1245" customWidth="1"/>
    <col min="5" max="5" width="11.5" style="1245" customWidth="1"/>
    <col min="6" max="6" width="13.33203125" style="1245" customWidth="1"/>
    <col min="7" max="10" width="10.5" style="1245" customWidth="1"/>
    <col min="11" max="16384" width="9.1640625" style="1245"/>
  </cols>
  <sheetData>
    <row r="1" spans="1:10" ht="16.5" thickBot="1"/>
    <row r="2" spans="1:10">
      <c r="A2" s="1394"/>
      <c r="B2" s="1395"/>
      <c r="C2" s="1396" t="s">
        <v>1293</v>
      </c>
      <c r="D2" s="1395"/>
      <c r="E2" s="1395"/>
      <c r="F2" s="1395"/>
      <c r="G2" s="1395"/>
      <c r="H2" s="1395"/>
      <c r="I2" s="1395"/>
      <c r="J2" s="1397"/>
    </row>
    <row r="3" spans="1:10">
      <c r="A3" s="1398"/>
      <c r="J3" s="1399"/>
    </row>
    <row r="4" spans="1:10" ht="18.75">
      <c r="A4" s="1398"/>
      <c r="C4" s="1409" t="s">
        <v>498</v>
      </c>
      <c r="D4" s="1409" t="s">
        <v>996</v>
      </c>
      <c r="E4" s="1409"/>
      <c r="F4" s="1409"/>
      <c r="J4" s="1399"/>
    </row>
    <row r="5" spans="1:10" ht="18.75">
      <c r="A5" s="1398"/>
      <c r="C5" s="1409" t="s">
        <v>499</v>
      </c>
      <c r="D5" s="1409" t="s">
        <v>461</v>
      </c>
      <c r="E5" s="1409"/>
      <c r="F5" s="1409"/>
      <c r="J5" s="1399"/>
    </row>
    <row r="6" spans="1:10">
      <c r="A6" s="1398"/>
      <c r="J6" s="1399"/>
    </row>
    <row r="7" spans="1:10" s="1241" customFormat="1" ht="23.25" customHeight="1">
      <c r="A7" s="1346"/>
      <c r="B7" s="1240"/>
      <c r="C7" s="1240"/>
      <c r="D7" s="1240"/>
      <c r="E7" s="1240"/>
      <c r="F7" s="1240"/>
      <c r="G7" s="1240"/>
      <c r="H7" s="1240"/>
      <c r="J7" s="1400"/>
    </row>
    <row r="8" spans="1:10" s="1242" customFormat="1" ht="19.7" customHeight="1">
      <c r="A8" s="1883" t="s">
        <v>632</v>
      </c>
      <c r="B8" s="1886" t="s">
        <v>1264</v>
      </c>
      <c r="C8" s="1887"/>
      <c r="D8" s="1892" t="s">
        <v>1265</v>
      </c>
      <c r="E8" s="1892" t="s">
        <v>1266</v>
      </c>
      <c r="F8" s="1878" t="s">
        <v>1267</v>
      </c>
      <c r="G8" s="1879"/>
      <c r="H8" s="1879"/>
      <c r="I8" s="1879"/>
      <c r="J8" s="1880"/>
    </row>
    <row r="9" spans="1:10" s="1242" customFormat="1" ht="14.25" customHeight="1">
      <c r="A9" s="1884"/>
      <c r="B9" s="1888"/>
      <c r="C9" s="1889"/>
      <c r="D9" s="1893"/>
      <c r="E9" s="1893"/>
      <c r="F9" s="1243" t="s">
        <v>1271</v>
      </c>
      <c r="G9" s="1256" t="s">
        <v>1270</v>
      </c>
      <c r="H9" s="1243" t="s">
        <v>1269</v>
      </c>
      <c r="I9" s="1243" t="s">
        <v>1268</v>
      </c>
      <c r="J9" s="1401" t="s">
        <v>1272</v>
      </c>
    </row>
    <row r="10" spans="1:10" s="1242" customFormat="1" ht="15.75" customHeight="1">
      <c r="A10" s="1885"/>
      <c r="B10" s="1890"/>
      <c r="C10" s="1891"/>
      <c r="D10" s="1894"/>
      <c r="E10" s="1894"/>
      <c r="F10" s="284" t="s">
        <v>1026</v>
      </c>
      <c r="G10" s="284" t="s">
        <v>1027</v>
      </c>
      <c r="H10" s="284" t="s">
        <v>1028</v>
      </c>
      <c r="I10" s="284" t="s">
        <v>1029</v>
      </c>
      <c r="J10" s="1402" t="s">
        <v>1030</v>
      </c>
    </row>
    <row r="11" spans="1:10" ht="18" customHeight="1">
      <c r="A11" s="1403">
        <v>1</v>
      </c>
      <c r="B11" s="1881" t="s">
        <v>1273</v>
      </c>
      <c r="C11" s="1882"/>
      <c r="D11" s="1243" t="s">
        <v>585</v>
      </c>
      <c r="E11" s="1251">
        <v>1</v>
      </c>
      <c r="F11" s="1258">
        <v>9601.7791969768532</v>
      </c>
      <c r="G11" s="1273">
        <v>9575.5448275862054</v>
      </c>
      <c r="H11" s="1258">
        <v>9575.5448275862054</v>
      </c>
      <c r="I11" s="1258">
        <v>9575.5448275862054</v>
      </c>
      <c r="J11" s="1387">
        <v>9601.7791969768532</v>
      </c>
    </row>
    <row r="12" spans="1:10" ht="18" customHeight="1">
      <c r="A12" s="1403">
        <v>2</v>
      </c>
      <c r="B12" s="1881" t="s">
        <v>1274</v>
      </c>
      <c r="C12" s="1882"/>
      <c r="D12" s="1243" t="s">
        <v>585</v>
      </c>
      <c r="E12" s="1251">
        <v>2</v>
      </c>
      <c r="F12" s="1258">
        <v>672.12454378838083</v>
      </c>
      <c r="G12" s="1273">
        <v>670.28813793103473</v>
      </c>
      <c r="H12" s="1258">
        <v>702.09526125708544</v>
      </c>
      <c r="I12" s="1258">
        <v>813.92131034482736</v>
      </c>
      <c r="J12" s="1387">
        <v>816.15123174303153</v>
      </c>
    </row>
    <row r="13" spans="1:10" ht="18" customHeight="1">
      <c r="A13" s="1403">
        <v>3</v>
      </c>
      <c r="B13" s="1881" t="s">
        <v>1275</v>
      </c>
      <c r="C13" s="1882"/>
      <c r="D13" s="1243" t="s">
        <v>585</v>
      </c>
      <c r="E13" s="1243" t="s">
        <v>1276</v>
      </c>
      <c r="F13" s="1258">
        <f>F11-F12</f>
        <v>8929.6546531884724</v>
      </c>
      <c r="G13" s="1258">
        <f t="shared" ref="G13:J13" si="0">G11-G12</f>
        <v>8905.2566896551707</v>
      </c>
      <c r="H13" s="1258">
        <f t="shared" si="0"/>
        <v>8873.44956632912</v>
      </c>
      <c r="I13" s="1258">
        <f t="shared" si="0"/>
        <v>8761.6235172413781</v>
      </c>
      <c r="J13" s="1387">
        <f t="shared" si="0"/>
        <v>8785.6279652338217</v>
      </c>
    </row>
    <row r="14" spans="1:10" ht="33.75" customHeight="1">
      <c r="A14" s="1403">
        <v>4</v>
      </c>
      <c r="B14" s="1881" t="s">
        <v>1338</v>
      </c>
      <c r="C14" s="1882"/>
      <c r="D14" s="1246" t="s">
        <v>1339</v>
      </c>
      <c r="E14" s="1247"/>
      <c r="F14" s="1258">
        <f>'Energy Charges'!D24/100</f>
        <v>2.8839999999999999</v>
      </c>
      <c r="G14" s="1258">
        <f>'Energy Charges'!E24/100</f>
        <v>3.2050000000000001</v>
      </c>
      <c r="H14" s="1258">
        <f>'Energy Charges'!F24/100</f>
        <v>3.5760000000000001</v>
      </c>
      <c r="I14" s="1258">
        <f>'Energy Charges'!G24/100</f>
        <v>4.0259999999999998</v>
      </c>
      <c r="J14" s="1387">
        <f>'Energy Charges'!H24/100</f>
        <v>4.476</v>
      </c>
    </row>
    <row r="15" spans="1:10" ht="18" customHeight="1">
      <c r="A15" s="1403">
        <v>5</v>
      </c>
      <c r="B15" s="1881" t="s">
        <v>1340</v>
      </c>
      <c r="C15" s="1882"/>
      <c r="D15" s="1243" t="s">
        <v>1342</v>
      </c>
      <c r="E15" s="1243" t="s">
        <v>1341</v>
      </c>
      <c r="F15" s="1258">
        <f>F13/10*F14</f>
        <v>2575.3124019795555</v>
      </c>
      <c r="G15" s="1258">
        <f t="shared" ref="G15:J15" si="1">G13/10*G14</f>
        <v>2854.1347690344824</v>
      </c>
      <c r="H15" s="1258">
        <f t="shared" si="1"/>
        <v>3173.1455649192935</v>
      </c>
      <c r="I15" s="1258">
        <f t="shared" si="1"/>
        <v>3527.4296280413787</v>
      </c>
      <c r="J15" s="1387">
        <f t="shared" si="1"/>
        <v>3932.4470772386585</v>
      </c>
    </row>
    <row r="16" spans="1:10" ht="17.100000000000001" customHeight="1">
      <c r="A16" s="1403">
        <v>18</v>
      </c>
      <c r="B16" s="1881" t="s">
        <v>1278</v>
      </c>
      <c r="C16" s="1882"/>
      <c r="D16" s="1243" t="s">
        <v>1277</v>
      </c>
      <c r="E16" s="1243" t="s">
        <v>1279</v>
      </c>
      <c r="F16" s="1258">
        <f>F15*100</f>
        <v>257531.24019795554</v>
      </c>
      <c r="G16" s="1258">
        <f t="shared" ref="G16:J16" si="2">G15*100</f>
        <v>285413.47690344823</v>
      </c>
      <c r="H16" s="1258">
        <f t="shared" si="2"/>
        <v>317314.55649192934</v>
      </c>
      <c r="I16" s="1258">
        <f t="shared" si="2"/>
        <v>352742.96280413785</v>
      </c>
      <c r="J16" s="1387">
        <f t="shared" si="2"/>
        <v>393244.70772386587</v>
      </c>
    </row>
    <row r="17" spans="1:10" ht="17.25" customHeight="1">
      <c r="A17" s="1404" t="s">
        <v>1280</v>
      </c>
      <c r="J17" s="1399"/>
    </row>
    <row r="18" spans="1:10" ht="18" customHeight="1">
      <c r="A18" s="1895"/>
      <c r="B18" s="1896"/>
      <c r="C18" s="1896"/>
      <c r="D18" s="1896"/>
      <c r="E18" s="1896"/>
      <c r="F18" s="1896"/>
      <c r="G18" s="1896"/>
      <c r="H18" s="1896"/>
      <c r="I18" s="1896"/>
      <c r="J18" s="1897"/>
    </row>
    <row r="19" spans="1:10" ht="16.5" customHeight="1">
      <c r="A19" s="1895"/>
      <c r="B19" s="1896"/>
      <c r="C19" s="1896"/>
      <c r="D19" s="1896"/>
      <c r="E19" s="1896"/>
      <c r="F19" s="1896"/>
      <c r="G19" s="1896"/>
      <c r="H19" s="1896"/>
      <c r="I19" s="1896"/>
      <c r="J19" s="1897"/>
    </row>
    <row r="20" spans="1:10" ht="16.5" customHeight="1">
      <c r="A20" s="1404"/>
      <c r="J20" s="1399"/>
    </row>
    <row r="21" spans="1:10" ht="18" customHeight="1">
      <c r="A21" s="1404"/>
      <c r="J21" s="1399"/>
    </row>
    <row r="22" spans="1:10" ht="14.25" customHeight="1">
      <c r="A22" s="1398"/>
      <c r="J22" s="1405" t="s">
        <v>1281</v>
      </c>
    </row>
    <row r="23" spans="1:10">
      <c r="A23" s="1398"/>
      <c r="J23" s="1399"/>
    </row>
    <row r="24" spans="1:10" ht="16.5" thickBot="1">
      <c r="A24" s="1406"/>
      <c r="B24" s="1407"/>
      <c r="C24" s="1407"/>
      <c r="D24" s="1407"/>
      <c r="E24" s="1407"/>
      <c r="F24" s="1407"/>
      <c r="G24" s="1407"/>
      <c r="H24" s="1407"/>
      <c r="I24" s="1407"/>
      <c r="J24" s="1408"/>
    </row>
  </sheetData>
  <mergeCells count="13">
    <mergeCell ref="B16:C16"/>
    <mergeCell ref="A18:J18"/>
    <mergeCell ref="A19:J19"/>
    <mergeCell ref="B13:C13"/>
    <mergeCell ref="B14:C14"/>
    <mergeCell ref="B15:C15"/>
    <mergeCell ref="F8:J8"/>
    <mergeCell ref="B11:C11"/>
    <mergeCell ref="B12:C12"/>
    <mergeCell ref="A8:A10"/>
    <mergeCell ref="B8:C10"/>
    <mergeCell ref="D8:D10"/>
    <mergeCell ref="E8:E10"/>
  </mergeCells>
  <pageMargins left="0.70866141732283472" right="0.7086614173228347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sheetPr>
    <tabColor rgb="FF00B050"/>
  </sheetPr>
  <dimension ref="A1:G21"/>
  <sheetViews>
    <sheetView workbookViewId="0">
      <selection activeCell="K13" sqref="K13"/>
    </sheetView>
  </sheetViews>
  <sheetFormatPr defaultColWidth="9.1640625" defaultRowHeight="15.75"/>
  <cols>
    <col min="1" max="1" width="33.83203125" style="1248" customWidth="1"/>
    <col min="2" max="2" width="11.1640625" style="1248" customWidth="1"/>
    <col min="3" max="7" width="11.33203125" style="1248" customWidth="1"/>
    <col min="8" max="16384" width="9.1640625" style="1248"/>
  </cols>
  <sheetData>
    <row r="1" spans="1:7" ht="16.5" thickBot="1"/>
    <row r="2" spans="1:7" ht="20.25">
      <c r="A2" s="1341" t="s">
        <v>1294</v>
      </c>
      <c r="B2" s="1342"/>
      <c r="C2" s="1342"/>
      <c r="D2" s="1342"/>
      <c r="E2" s="1342"/>
      <c r="F2" s="1342"/>
      <c r="G2" s="1343"/>
    </row>
    <row r="3" spans="1:7">
      <c r="A3" s="1344"/>
      <c r="G3" s="1345"/>
    </row>
    <row r="4" spans="1:7">
      <c r="A4" s="1344" t="s">
        <v>1104</v>
      </c>
      <c r="C4" s="1248" t="s">
        <v>996</v>
      </c>
      <c r="G4" s="1345"/>
    </row>
    <row r="5" spans="1:7">
      <c r="A5" s="1344" t="s">
        <v>1105</v>
      </c>
      <c r="C5" s="1248" t="s">
        <v>461</v>
      </c>
      <c r="G5" s="1345"/>
    </row>
    <row r="6" spans="1:7" ht="22.5" customHeight="1">
      <c r="A6" s="1344"/>
      <c r="B6" s="1241"/>
      <c r="G6" s="1345"/>
    </row>
    <row r="7" spans="1:7" ht="22.5" customHeight="1">
      <c r="A7" s="1346"/>
      <c r="B7" s="1241"/>
      <c r="F7" s="1902" t="s">
        <v>1283</v>
      </c>
      <c r="G7" s="1903"/>
    </row>
    <row r="8" spans="1:7" ht="20.45" customHeight="1">
      <c r="A8" s="1898" t="s">
        <v>1282</v>
      </c>
      <c r="B8" s="1899" t="s">
        <v>392</v>
      </c>
      <c r="C8" s="1900" t="s">
        <v>1267</v>
      </c>
      <c r="D8" s="1900"/>
      <c r="E8" s="1900"/>
      <c r="F8" s="1900"/>
      <c r="G8" s="1901"/>
    </row>
    <row r="9" spans="1:7" ht="15.75" customHeight="1">
      <c r="A9" s="1898"/>
      <c r="B9" s="1899"/>
      <c r="C9" s="1266" t="s">
        <v>1271</v>
      </c>
      <c r="D9" s="1266" t="s">
        <v>1270</v>
      </c>
      <c r="E9" s="1266" t="s">
        <v>1269</v>
      </c>
      <c r="F9" s="1266" t="s">
        <v>1268</v>
      </c>
      <c r="G9" s="1347" t="s">
        <v>1272</v>
      </c>
    </row>
    <row r="10" spans="1:7" ht="18.75" customHeight="1">
      <c r="A10" s="1898"/>
      <c r="B10" s="1899"/>
      <c r="C10" s="1267" t="s">
        <v>1026</v>
      </c>
      <c r="D10" s="1267" t="s">
        <v>1027</v>
      </c>
      <c r="E10" s="1267" t="s">
        <v>1028</v>
      </c>
      <c r="F10" s="1267" t="s">
        <v>1029</v>
      </c>
      <c r="G10" s="1348" t="s">
        <v>1030</v>
      </c>
    </row>
    <row r="11" spans="1:7">
      <c r="A11" s="1349" t="s">
        <v>1344</v>
      </c>
      <c r="B11" s="1276" t="s">
        <v>313</v>
      </c>
      <c r="C11" s="1278">
        <v>0.8</v>
      </c>
      <c r="D11" s="1278">
        <v>0.8</v>
      </c>
      <c r="E11" s="1278">
        <v>0.8</v>
      </c>
      <c r="F11" s="1278">
        <v>0.8</v>
      </c>
      <c r="G11" s="1350">
        <v>0.8</v>
      </c>
    </row>
    <row r="12" spans="1:7">
      <c r="A12" s="1349" t="s">
        <v>1347</v>
      </c>
      <c r="B12" s="1276" t="s">
        <v>585</v>
      </c>
      <c r="C12" s="1275">
        <f>1200*24/1000*366*(1-'Form 3'!D17)*'Form 3'!D16</f>
        <v>7842.3552</v>
      </c>
      <c r="D12" s="1275">
        <f>1200*24/1000*365*(1-'Form 3'!E17)*'Form 3'!E16</f>
        <v>7820.9279999999999</v>
      </c>
      <c r="E12" s="1275">
        <f>1200*24/1000*365*(1-'Form 3'!F17)*'Form 3'!F16</f>
        <v>7793.1763200000005</v>
      </c>
      <c r="F12" s="1275">
        <f>1200*24/1000*365*(1-'Form 3'!G17)*'Form 3'!G16</f>
        <v>7694.7839999999997</v>
      </c>
      <c r="G12" s="1351">
        <f>1200*24/1000*366*(1-'Form 3'!H17)*'Form 3'!H16</f>
        <v>7715.8656000000019</v>
      </c>
    </row>
    <row r="13" spans="1:7">
      <c r="A13" s="1349" t="s">
        <v>1343</v>
      </c>
      <c r="B13" s="1276" t="s">
        <v>585</v>
      </c>
      <c r="C13" s="1275">
        <f>'FUEL COST'!F13</f>
        <v>8929.6546531884724</v>
      </c>
      <c r="D13" s="1275">
        <f>'FUEL COST'!G13</f>
        <v>8905.2566896551707</v>
      </c>
      <c r="E13" s="1275">
        <f>'FUEL COST'!H13</f>
        <v>8873.44956632912</v>
      </c>
      <c r="F13" s="1275">
        <f>'FUEL COST'!I13</f>
        <v>8761.6235172413781</v>
      </c>
      <c r="G13" s="1351">
        <f>'FUEL COST'!J13</f>
        <v>8785.6279652338217</v>
      </c>
    </row>
    <row r="14" spans="1:7">
      <c r="A14" s="1349" t="s">
        <v>1348</v>
      </c>
      <c r="B14" s="1276" t="s">
        <v>585</v>
      </c>
      <c r="C14" s="1275">
        <f>C13-C12</f>
        <v>1087.2994531884724</v>
      </c>
      <c r="D14" s="1275">
        <f t="shared" ref="D14:G14" si="0">D13-D12</f>
        <v>1084.3286896551708</v>
      </c>
      <c r="E14" s="1275">
        <f t="shared" si="0"/>
        <v>1080.2732463291195</v>
      </c>
      <c r="F14" s="1275">
        <f t="shared" si="0"/>
        <v>1066.8395172413784</v>
      </c>
      <c r="G14" s="1351">
        <f t="shared" si="0"/>
        <v>1069.7623652338198</v>
      </c>
    </row>
    <row r="15" spans="1:7" ht="34.15" customHeight="1">
      <c r="A15" s="1352" t="s">
        <v>1345</v>
      </c>
      <c r="B15" s="1277" t="s">
        <v>1339</v>
      </c>
      <c r="C15" s="1276">
        <v>0.5</v>
      </c>
      <c r="D15" s="1276">
        <v>0.5</v>
      </c>
      <c r="E15" s="1276">
        <v>0.5</v>
      </c>
      <c r="F15" s="1276">
        <v>0.5</v>
      </c>
      <c r="G15" s="1353">
        <v>0.5</v>
      </c>
    </row>
    <row r="16" spans="1:7">
      <c r="A16" s="1349" t="s">
        <v>1346</v>
      </c>
      <c r="B16" s="1276" t="s">
        <v>1349</v>
      </c>
      <c r="C16" s="1274">
        <f>C14/10*C15</f>
        <v>54.364972659423621</v>
      </c>
      <c r="D16" s="1274">
        <f t="shared" ref="D16:G16" si="1">D14/10*D15</f>
        <v>54.216434482758544</v>
      </c>
      <c r="E16" s="1274">
        <f t="shared" si="1"/>
        <v>54.013662316455978</v>
      </c>
      <c r="F16" s="1274">
        <f t="shared" si="1"/>
        <v>53.341975862068921</v>
      </c>
      <c r="G16" s="1354">
        <f t="shared" si="1"/>
        <v>53.488118261690985</v>
      </c>
    </row>
    <row r="17" spans="1:7">
      <c r="A17" s="1344"/>
      <c r="G17" s="1345"/>
    </row>
    <row r="18" spans="1:7">
      <c r="A18" s="1344"/>
      <c r="G18" s="1345"/>
    </row>
    <row r="19" spans="1:7">
      <c r="A19" s="1344"/>
      <c r="G19" s="1345"/>
    </row>
    <row r="20" spans="1:7">
      <c r="A20" s="1344"/>
      <c r="F20" s="1263" t="s">
        <v>1281</v>
      </c>
      <c r="G20" s="1345"/>
    </row>
    <row r="21" spans="1:7" ht="16.5" thickBot="1">
      <c r="A21" s="1355"/>
      <c r="B21" s="1356"/>
      <c r="C21" s="1356"/>
      <c r="D21" s="1356"/>
      <c r="E21" s="1356"/>
      <c r="F21" s="1356"/>
      <c r="G21" s="1357"/>
    </row>
  </sheetData>
  <mergeCells count="4">
    <mergeCell ref="A8:A10"/>
    <mergeCell ref="B8:B10"/>
    <mergeCell ref="C8:G8"/>
    <mergeCell ref="F7:G7"/>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sheetPr>
    <tabColor rgb="FF00B050"/>
  </sheetPr>
  <dimension ref="A1:F45"/>
  <sheetViews>
    <sheetView topLeftCell="A16" workbookViewId="0">
      <selection activeCell="D28" sqref="D28"/>
    </sheetView>
  </sheetViews>
  <sheetFormatPr defaultRowHeight="12.75"/>
  <cols>
    <col min="1" max="1" width="30" customWidth="1"/>
    <col min="2" max="2" width="19.5" customWidth="1"/>
    <col min="3" max="3" width="16.33203125" customWidth="1"/>
    <col min="4" max="4" width="19" customWidth="1"/>
    <col min="5" max="5" width="18.83203125" customWidth="1"/>
    <col min="6" max="6" width="19.1640625" customWidth="1"/>
  </cols>
  <sheetData>
    <row r="1" spans="1:6" ht="26.45" customHeight="1">
      <c r="A1" s="1369" t="s">
        <v>1376</v>
      </c>
      <c r="B1" s="1342"/>
      <c r="C1" s="1342"/>
      <c r="D1" s="1342"/>
      <c r="E1" s="1370"/>
      <c r="F1" s="171"/>
    </row>
    <row r="2" spans="1:6" ht="26.45" customHeight="1">
      <c r="A2" s="1371"/>
      <c r="B2" s="1248"/>
      <c r="C2" s="1248"/>
      <c r="D2" s="1248"/>
      <c r="E2" s="1264"/>
      <c r="F2" s="1345"/>
    </row>
    <row r="3" spans="1:6" ht="26.45" customHeight="1">
      <c r="A3" s="1372" t="s">
        <v>1104</v>
      </c>
      <c r="B3" s="1373"/>
      <c r="C3" s="1373" t="s">
        <v>996</v>
      </c>
      <c r="D3" s="1373"/>
      <c r="E3" s="1264"/>
      <c r="F3" s="1345"/>
    </row>
    <row r="4" spans="1:6" ht="26.45" customHeight="1">
      <c r="A4" s="1372" t="s">
        <v>1105</v>
      </c>
      <c r="B4" s="1373"/>
      <c r="C4" s="1373" t="s">
        <v>461</v>
      </c>
      <c r="D4" s="1373"/>
      <c r="E4" s="1264"/>
      <c r="F4" s="1345"/>
    </row>
    <row r="5" spans="1:6" ht="26.45" customHeight="1">
      <c r="A5" s="1371"/>
      <c r="B5" s="1248"/>
      <c r="C5" s="1248"/>
      <c r="D5" s="1248"/>
      <c r="E5" s="1264"/>
      <c r="F5" s="1345"/>
    </row>
    <row r="6" spans="1:6" ht="26.45" customHeight="1">
      <c r="A6" s="1371"/>
      <c r="B6" s="1248"/>
      <c r="C6" s="1248"/>
      <c r="D6" s="1248"/>
      <c r="E6" s="1264"/>
      <c r="F6" s="1345"/>
    </row>
    <row r="7" spans="1:6" ht="26.45" customHeight="1">
      <c r="A7" s="1371"/>
      <c r="B7" s="1248"/>
      <c r="C7" s="1248"/>
      <c r="D7" s="1248"/>
      <c r="E7" s="1264"/>
      <c r="F7" s="1345" t="s">
        <v>1318</v>
      </c>
    </row>
    <row r="8" spans="1:6" ht="30" customHeight="1">
      <c r="A8" s="1374" t="s">
        <v>768</v>
      </c>
      <c r="B8" s="1904" t="s">
        <v>1267</v>
      </c>
      <c r="C8" s="1905"/>
      <c r="D8" s="1905"/>
      <c r="E8" s="1905"/>
      <c r="F8" s="1906"/>
    </row>
    <row r="9" spans="1:6" ht="15.75">
      <c r="A9" s="1375"/>
      <c r="B9" s="1249" t="s">
        <v>1271</v>
      </c>
      <c r="C9" s="1249" t="s">
        <v>1270</v>
      </c>
      <c r="D9" s="1249" t="s">
        <v>1269</v>
      </c>
      <c r="E9" s="1249" t="s">
        <v>1268</v>
      </c>
      <c r="F9" s="1376" t="s">
        <v>1272</v>
      </c>
    </row>
    <row r="10" spans="1:6" ht="15.75">
      <c r="A10" s="1377"/>
      <c r="B10" s="1250" t="s">
        <v>1026</v>
      </c>
      <c r="C10" s="1250" t="s">
        <v>1027</v>
      </c>
      <c r="D10" s="1250" t="s">
        <v>1028</v>
      </c>
      <c r="E10" s="1250" t="s">
        <v>1029</v>
      </c>
      <c r="F10" s="1378" t="s">
        <v>1030</v>
      </c>
    </row>
    <row r="11" spans="1:6" ht="18.75">
      <c r="A11" s="1379" t="s">
        <v>1320</v>
      </c>
      <c r="B11" s="1244"/>
      <c r="C11" s="1244"/>
      <c r="D11" s="1244"/>
      <c r="E11" s="1244"/>
      <c r="F11" s="1380"/>
    </row>
    <row r="12" spans="1:6" ht="18.75">
      <c r="A12" s="1379"/>
      <c r="B12" s="1244"/>
      <c r="C12" s="1244"/>
      <c r="D12" s="1244"/>
      <c r="E12" s="1244"/>
      <c r="F12" s="1380"/>
    </row>
    <row r="13" spans="1:6" ht="18.75">
      <c r="A13" s="1379" t="s">
        <v>1324</v>
      </c>
      <c r="B13" s="1244"/>
      <c r="C13" s="1244"/>
      <c r="D13" s="1244"/>
      <c r="E13" s="1244"/>
      <c r="F13" s="1380"/>
    </row>
    <row r="14" spans="1:6" ht="18.75">
      <c r="A14" s="1379"/>
      <c r="B14" s="1244"/>
      <c r="C14" s="1244"/>
      <c r="D14" s="1244"/>
      <c r="E14" s="1244"/>
      <c r="F14" s="1380"/>
    </row>
    <row r="15" spans="1:6" ht="15.75">
      <c r="A15" s="1381" t="s">
        <v>1316</v>
      </c>
      <c r="B15" s="1257">
        <f>'Form 12'!M67</f>
        <v>0</v>
      </c>
      <c r="C15" s="1257">
        <f>'Form 12'!N67</f>
        <v>0</v>
      </c>
      <c r="D15" s="1257">
        <f>'Form 12'!O67</f>
        <v>645.32000000000005</v>
      </c>
      <c r="E15" s="1257">
        <f>D15</f>
        <v>645.32000000000005</v>
      </c>
      <c r="F15" s="1382">
        <f>E15</f>
        <v>645.32000000000005</v>
      </c>
    </row>
    <row r="16" spans="1:6" ht="31.5">
      <c r="A16" s="1383" t="s">
        <v>1317</v>
      </c>
      <c r="B16" s="1257">
        <f>B15*0.02</f>
        <v>0</v>
      </c>
      <c r="C16" s="1257">
        <f t="shared" ref="C16:F16" si="0">C15*0.02</f>
        <v>0</v>
      </c>
      <c r="D16" s="1257">
        <f t="shared" si="0"/>
        <v>12.906400000000001</v>
      </c>
      <c r="E16" s="1257">
        <f t="shared" si="0"/>
        <v>12.906400000000001</v>
      </c>
      <c r="F16" s="1382">
        <f t="shared" si="0"/>
        <v>12.906400000000001</v>
      </c>
    </row>
    <row r="17" spans="1:6" ht="15.75">
      <c r="A17" s="1383"/>
      <c r="B17" s="1257"/>
      <c r="C17" s="1257"/>
      <c r="D17" s="1257"/>
      <c r="E17" s="1257"/>
      <c r="F17" s="1382"/>
    </row>
    <row r="18" spans="1:6" ht="18.75">
      <c r="A18" s="1379" t="s">
        <v>1325</v>
      </c>
      <c r="B18" s="1257"/>
      <c r="C18" s="1257"/>
      <c r="D18" s="1257"/>
      <c r="E18" s="1257"/>
      <c r="F18" s="1382"/>
    </row>
    <row r="19" spans="1:6" ht="15.75">
      <c r="A19" s="1381"/>
      <c r="B19" s="1244"/>
      <c r="C19" s="1244"/>
      <c r="D19" s="1244"/>
      <c r="E19" s="1244"/>
      <c r="F19" s="1380"/>
    </row>
    <row r="20" spans="1:6" ht="15.75">
      <c r="A20" s="301" t="s">
        <v>1321</v>
      </c>
      <c r="B20" s="1251">
        <v>1500</v>
      </c>
      <c r="C20" s="1251">
        <f>B20</f>
        <v>1500</v>
      </c>
      <c r="D20" s="1251">
        <f t="shared" ref="D20:F20" si="1">C20</f>
        <v>1500</v>
      </c>
      <c r="E20" s="1251">
        <f t="shared" si="1"/>
        <v>1500</v>
      </c>
      <c r="F20" s="1384">
        <f t="shared" si="1"/>
        <v>1500</v>
      </c>
    </row>
    <row r="21" spans="1:6" ht="38.25">
      <c r="A21" s="1385" t="s">
        <v>1322</v>
      </c>
      <c r="B21" s="1251">
        <v>24</v>
      </c>
      <c r="C21" s="1251">
        <f>B21</f>
        <v>24</v>
      </c>
      <c r="D21" s="1251">
        <f t="shared" ref="D21:F21" si="2">C21</f>
        <v>24</v>
      </c>
      <c r="E21" s="1251">
        <f t="shared" si="2"/>
        <v>24</v>
      </c>
      <c r="F21" s="1384">
        <f t="shared" si="2"/>
        <v>24</v>
      </c>
    </row>
    <row r="22" spans="1:6" ht="15.75">
      <c r="A22" s="1385" t="s">
        <v>1323</v>
      </c>
      <c r="B22" s="1251">
        <v>0</v>
      </c>
      <c r="C22" s="1251">
        <v>0</v>
      </c>
      <c r="D22" s="1251">
        <f t="shared" ref="D22:E22" si="3">365*24</f>
        <v>8760</v>
      </c>
      <c r="E22" s="1251">
        <f t="shared" si="3"/>
        <v>8760</v>
      </c>
      <c r="F22" s="1384">
        <f t="shared" ref="F22" si="4">366*24</f>
        <v>8784</v>
      </c>
    </row>
    <row r="23" spans="1:6" ht="15.75">
      <c r="A23" s="1381" t="s">
        <v>1326</v>
      </c>
      <c r="B23" s="1251">
        <f>B20*B22/10000000</f>
        <v>0</v>
      </c>
      <c r="C23" s="1251">
        <f t="shared" ref="C23:F23" si="5">C20*C22/10000000</f>
        <v>0</v>
      </c>
      <c r="D23" s="1251">
        <f t="shared" si="5"/>
        <v>1.3140000000000001</v>
      </c>
      <c r="E23" s="1251">
        <f t="shared" si="5"/>
        <v>1.3140000000000001</v>
      </c>
      <c r="F23" s="1384">
        <f t="shared" si="5"/>
        <v>1.3176000000000001</v>
      </c>
    </row>
    <row r="24" spans="1:6" ht="15.75">
      <c r="A24" s="1381"/>
      <c r="B24" s="1244"/>
      <c r="C24" s="1244"/>
      <c r="D24" s="1244"/>
      <c r="E24" s="1244"/>
      <c r="F24" s="1380"/>
    </row>
    <row r="25" spans="1:6" ht="31.5">
      <c r="A25" s="1386" t="s">
        <v>1298</v>
      </c>
      <c r="B25" s="1244"/>
      <c r="C25" s="1244"/>
      <c r="D25" s="1244"/>
      <c r="E25" s="1244"/>
      <c r="F25" s="1380"/>
    </row>
    <row r="26" spans="1:6" ht="15.75">
      <c r="A26" s="1381"/>
      <c r="B26" s="1244"/>
      <c r="C26" s="1244"/>
      <c r="D26" s="1244"/>
      <c r="E26" s="1244"/>
      <c r="F26" s="1380"/>
    </row>
    <row r="27" spans="1:6" ht="31.5">
      <c r="A27" s="1381" t="s">
        <v>1327</v>
      </c>
      <c r="B27" s="1251">
        <v>0</v>
      </c>
      <c r="C27" s="1251">
        <v>0</v>
      </c>
      <c r="D27" s="1258">
        <f>D23/12</f>
        <v>0.1095</v>
      </c>
      <c r="E27" s="1258">
        <f t="shared" ref="E27:F27" si="6">E23/12</f>
        <v>0.1095</v>
      </c>
      <c r="F27" s="1387">
        <f t="shared" si="6"/>
        <v>0.10980000000000001</v>
      </c>
    </row>
    <row r="28" spans="1:6" ht="15.75">
      <c r="A28" s="1381" t="s">
        <v>1329</v>
      </c>
      <c r="B28" s="1251">
        <v>0</v>
      </c>
      <c r="C28" s="1251">
        <v>0</v>
      </c>
      <c r="D28" s="1259">
        <f>D16/12</f>
        <v>1.0755333333333335</v>
      </c>
      <c r="E28" s="1259">
        <f t="shared" ref="E28:F28" si="7">E16/12</f>
        <v>1.0755333333333335</v>
      </c>
      <c r="F28" s="1388">
        <f t="shared" si="7"/>
        <v>1.0755333333333335</v>
      </c>
    </row>
    <row r="29" spans="1:6" ht="31.5">
      <c r="A29" s="1381" t="s">
        <v>1328</v>
      </c>
      <c r="B29" s="1251">
        <v>0</v>
      </c>
      <c r="C29" s="1251">
        <v>0</v>
      </c>
      <c r="D29" s="1258">
        <f>D16*0.2</f>
        <v>2.5812800000000005</v>
      </c>
      <c r="E29" s="1258">
        <f t="shared" ref="E29:F29" si="8">E16*0.2</f>
        <v>2.5812800000000005</v>
      </c>
      <c r="F29" s="1387">
        <f t="shared" si="8"/>
        <v>2.5812800000000005</v>
      </c>
    </row>
    <row r="30" spans="1:6" ht="15.75">
      <c r="A30" s="1381" t="s">
        <v>1330</v>
      </c>
      <c r="B30" s="1251">
        <v>0</v>
      </c>
      <c r="C30" s="1251">
        <v>0</v>
      </c>
      <c r="D30" s="1258">
        <v>10.5</v>
      </c>
      <c r="E30" s="1258">
        <v>10.5</v>
      </c>
      <c r="F30" s="1387">
        <v>10.5</v>
      </c>
    </row>
    <row r="31" spans="1:6" ht="15.75">
      <c r="A31" s="1381" t="s">
        <v>1331</v>
      </c>
      <c r="B31" s="1251">
        <v>0</v>
      </c>
      <c r="C31" s="1251">
        <v>0</v>
      </c>
      <c r="D31" s="1258">
        <f>(D27+D28+D29)*D30%</f>
        <v>0.39546290000000001</v>
      </c>
      <c r="E31" s="1258">
        <f t="shared" ref="E31:F31" si="9">(E27+E28+E29)*E30%</f>
        <v>0.39546290000000001</v>
      </c>
      <c r="F31" s="1258">
        <f t="shared" si="9"/>
        <v>0.39549440000000002</v>
      </c>
    </row>
    <row r="32" spans="1:6" ht="15.75">
      <c r="A32" s="448"/>
      <c r="B32" s="1244"/>
      <c r="C32" s="1244"/>
      <c r="D32" s="1244"/>
      <c r="E32" s="1244"/>
      <c r="F32" s="1380"/>
    </row>
    <row r="33" spans="1:6" ht="15.75">
      <c r="A33" s="1381"/>
      <c r="B33" s="1244"/>
      <c r="C33" s="1244"/>
      <c r="D33" s="1244"/>
      <c r="E33" s="1244"/>
      <c r="F33" s="1380"/>
    </row>
    <row r="34" spans="1:6" ht="15.75">
      <c r="A34" s="1381" t="s">
        <v>1332</v>
      </c>
      <c r="B34" s="1244"/>
      <c r="C34" s="1244"/>
      <c r="E34" s="1244"/>
      <c r="F34" s="1380"/>
    </row>
    <row r="35" spans="1:6" ht="15.75">
      <c r="A35" s="1381"/>
      <c r="B35" s="1244"/>
      <c r="C35" s="1244"/>
      <c r="D35" s="1244"/>
      <c r="E35" s="1244"/>
      <c r="F35" s="1380"/>
    </row>
    <row r="36" spans="1:6" ht="52.9" customHeight="1">
      <c r="A36" s="1389" t="str">
        <f>'Form 12'!L68</f>
        <v>IN-FURNACE MODIFICATIONS FOR NOX MITIGATION</v>
      </c>
      <c r="B36" s="1255">
        <f>'Form 12'!M68</f>
        <v>0</v>
      </c>
      <c r="C36" s="1255">
        <f>'Form 12'!N68</f>
        <v>19</v>
      </c>
      <c r="D36" s="1255">
        <v>38</v>
      </c>
      <c r="E36" s="1255">
        <v>38</v>
      </c>
      <c r="F36" s="1390">
        <v>38</v>
      </c>
    </row>
    <row r="37" spans="1:6" ht="42.6" customHeight="1">
      <c r="A37" s="1391" t="s">
        <v>1319</v>
      </c>
      <c r="B37" s="1262">
        <f>B36*0.02</f>
        <v>0</v>
      </c>
      <c r="C37" s="1262">
        <f t="shared" ref="C37:F37" si="10">C36*0.02</f>
        <v>0.38</v>
      </c>
      <c r="D37" s="1262">
        <f t="shared" si="10"/>
        <v>0.76</v>
      </c>
      <c r="E37" s="1262">
        <f t="shared" si="10"/>
        <v>0.76</v>
      </c>
      <c r="F37" s="1392">
        <f t="shared" si="10"/>
        <v>0.76</v>
      </c>
    </row>
    <row r="38" spans="1:6" ht="15.75">
      <c r="A38" s="1393"/>
      <c r="B38" s="1260"/>
      <c r="C38" s="1260"/>
      <c r="D38" s="1260"/>
      <c r="E38" s="1260"/>
      <c r="F38" s="1366"/>
    </row>
    <row r="39" spans="1:6" ht="15.75">
      <c r="A39" s="1393"/>
      <c r="B39" s="1260"/>
      <c r="C39" s="1260"/>
      <c r="D39" s="1260"/>
      <c r="E39" s="1260"/>
      <c r="F39" s="1366"/>
    </row>
    <row r="40" spans="1:6" ht="15.75">
      <c r="A40" s="1393"/>
      <c r="B40" s="1260"/>
      <c r="C40" s="1260"/>
      <c r="D40" s="1260"/>
      <c r="E40" s="1260"/>
      <c r="F40" s="1366"/>
    </row>
    <row r="41" spans="1:6" ht="15.75">
      <c r="A41" s="1393"/>
      <c r="B41" s="1260"/>
      <c r="C41" s="1260"/>
      <c r="D41" s="1260"/>
      <c r="E41" s="1260"/>
      <c r="F41" s="1366"/>
    </row>
    <row r="42" spans="1:6" ht="15.75">
      <c r="A42" s="448"/>
      <c r="B42" s="1260"/>
      <c r="C42" s="1260"/>
      <c r="D42" s="1260"/>
      <c r="E42" s="1260"/>
      <c r="F42" s="1366" t="s">
        <v>822</v>
      </c>
    </row>
    <row r="43" spans="1:6" ht="13.5" thickBot="1">
      <c r="A43" s="175"/>
      <c r="B43" s="176"/>
      <c r="C43" s="176"/>
      <c r="D43" s="176"/>
      <c r="E43" s="176"/>
      <c r="F43" s="177"/>
    </row>
    <row r="44" spans="1:6" ht="15.75">
      <c r="B44" s="1260"/>
      <c r="C44" s="1260"/>
      <c r="D44" s="1260"/>
      <c r="E44" s="1260"/>
      <c r="F44" s="1260"/>
    </row>
    <row r="45" spans="1:6" ht="15.75">
      <c r="B45" s="1260"/>
      <c r="C45" s="1260"/>
      <c r="D45" s="1260"/>
      <c r="E45" s="1260"/>
      <c r="F45" s="1260"/>
    </row>
  </sheetData>
  <mergeCells count="1">
    <mergeCell ref="B8:F8"/>
  </mergeCells>
  <pageMargins left="0.7" right="0.7" top="0.75" bottom="0.75" header="0.3" footer="0.3"/>
</worksheet>
</file>

<file path=xl/worksheets/sheet39.xml><?xml version="1.0" encoding="utf-8"?>
<worksheet xmlns="http://schemas.openxmlformats.org/spreadsheetml/2006/main" xmlns:r="http://schemas.openxmlformats.org/officeDocument/2006/relationships">
  <sheetPr>
    <tabColor rgb="FF00B050"/>
  </sheetPr>
  <dimension ref="B1:G31"/>
  <sheetViews>
    <sheetView topLeftCell="A10" workbookViewId="0">
      <selection activeCell="G15" sqref="G15"/>
    </sheetView>
  </sheetViews>
  <sheetFormatPr defaultRowHeight="12.75"/>
  <cols>
    <col min="2" max="2" width="4.1640625" style="297" customWidth="1"/>
    <col min="3" max="3" width="33.1640625" customWidth="1"/>
    <col min="4" max="4" width="19.5" customWidth="1"/>
    <col min="5" max="5" width="19.6640625" customWidth="1"/>
    <col min="6" max="6" width="21.83203125" customWidth="1"/>
    <col min="7" max="7" width="21.1640625" customWidth="1"/>
  </cols>
  <sheetData>
    <row r="1" spans="2:7" ht="13.5" thickBot="1">
      <c r="G1" s="697"/>
    </row>
    <row r="2" spans="2:7" ht="18.75">
      <c r="B2" s="933"/>
      <c r="C2" s="942"/>
      <c r="D2" s="942"/>
      <c r="E2" s="942"/>
      <c r="F2" s="942"/>
      <c r="G2" s="943"/>
    </row>
    <row r="3" spans="2:7" ht="18.75">
      <c r="B3" s="934"/>
      <c r="C3" s="944"/>
      <c r="D3" s="944"/>
      <c r="E3" s="944"/>
      <c r="F3" s="944"/>
      <c r="G3" s="945" t="s">
        <v>881</v>
      </c>
    </row>
    <row r="4" spans="2:7" ht="27.75" customHeight="1">
      <c r="B4" s="1908" t="s">
        <v>813</v>
      </c>
      <c r="C4" s="1909"/>
      <c r="D4" s="1909"/>
      <c r="E4" s="1909"/>
      <c r="F4" s="1909"/>
      <c r="G4" s="1910"/>
    </row>
    <row r="5" spans="2:7" ht="18.75">
      <c r="B5" s="935"/>
      <c r="C5" s="936"/>
      <c r="D5" s="936"/>
      <c r="E5" s="936"/>
      <c r="F5" s="936"/>
      <c r="G5" s="1331"/>
    </row>
    <row r="6" spans="2:7" ht="37.5" customHeight="1">
      <c r="B6" s="935"/>
      <c r="C6" s="1502" t="s">
        <v>498</v>
      </c>
      <c r="D6" s="1502"/>
      <c r="E6" s="938" t="s">
        <v>996</v>
      </c>
      <c r="G6" s="1332"/>
    </row>
    <row r="7" spans="2:7" ht="37.5" customHeight="1">
      <c r="B7" s="935"/>
      <c r="C7" s="1502" t="s">
        <v>499</v>
      </c>
      <c r="D7" s="1502"/>
      <c r="E7" s="938" t="s">
        <v>461</v>
      </c>
      <c r="G7" s="1333"/>
    </row>
    <row r="8" spans="2:7" ht="18.75">
      <c r="B8" s="934"/>
      <c r="C8" s="944"/>
      <c r="D8" s="944"/>
      <c r="E8" s="944"/>
      <c r="F8" s="944"/>
      <c r="G8" s="945"/>
    </row>
    <row r="9" spans="2:7" ht="18.75">
      <c r="B9" s="934"/>
      <c r="C9" s="944"/>
      <c r="D9" s="944"/>
      <c r="E9" s="944"/>
      <c r="F9" s="944"/>
      <c r="G9" s="949" t="s">
        <v>995</v>
      </c>
    </row>
    <row r="10" spans="2:7" ht="31.5">
      <c r="B10" s="1907" t="s">
        <v>632</v>
      </c>
      <c r="C10" s="723" t="s">
        <v>811</v>
      </c>
      <c r="D10" s="723" t="s">
        <v>659</v>
      </c>
      <c r="E10" s="723" t="s">
        <v>1106</v>
      </c>
      <c r="F10" s="723" t="s">
        <v>445</v>
      </c>
      <c r="G10" s="725" t="s">
        <v>446</v>
      </c>
    </row>
    <row r="11" spans="2:7" ht="15.75">
      <c r="B11" s="1907"/>
      <c r="C11" s="771">
        <v>1</v>
      </c>
      <c r="D11" s="771">
        <v>2</v>
      </c>
      <c r="E11" s="771">
        <v>3</v>
      </c>
      <c r="F11" s="771">
        <v>4</v>
      </c>
      <c r="G11" s="1334">
        <v>5</v>
      </c>
    </row>
    <row r="12" spans="2:7" ht="15.75">
      <c r="B12" s="772">
        <v>1</v>
      </c>
      <c r="C12" s="773" t="s">
        <v>651</v>
      </c>
      <c r="D12" s="774">
        <f>'Form 13'!E50</f>
        <v>4457.6500000000005</v>
      </c>
      <c r="E12" s="774">
        <f>'Form 13'!F50</f>
        <v>4624.1099999999997</v>
      </c>
      <c r="F12" s="774">
        <f>'Form 13'!G50</f>
        <v>4767.12</v>
      </c>
      <c r="G12" s="1335">
        <f>'Form 13'!H50</f>
        <v>5003.97</v>
      </c>
    </row>
    <row r="13" spans="2:7" ht="51.75" customHeight="1">
      <c r="B13" s="772">
        <v>2</v>
      </c>
      <c r="C13" s="940" t="s">
        <v>641</v>
      </c>
      <c r="D13" s="774">
        <f>'Form 13'!E51</f>
        <v>0</v>
      </c>
      <c r="E13" s="774">
        <f>'Form 13'!F51</f>
        <v>0</v>
      </c>
      <c r="F13" s="774">
        <f>'Form 13'!G51</f>
        <v>96.26700000000001</v>
      </c>
      <c r="G13" s="1335">
        <f>'Form 13'!H51</f>
        <v>495.98266666666666</v>
      </c>
    </row>
    <row r="14" spans="2:7" ht="15.75">
      <c r="B14" s="772">
        <v>3</v>
      </c>
      <c r="C14" s="940" t="s">
        <v>643</v>
      </c>
      <c r="D14" s="774">
        <f>'Form 13'!E52</f>
        <v>4457.6500000000005</v>
      </c>
      <c r="E14" s="774">
        <f>'Form 13'!F52</f>
        <v>4624.1099999999997</v>
      </c>
      <c r="F14" s="774">
        <f>'Form 13'!G52</f>
        <v>4670.8530000000001</v>
      </c>
      <c r="G14" s="1335">
        <f>'Form 13'!H52</f>
        <v>4507.9873333333335</v>
      </c>
    </row>
    <row r="15" spans="2:7" ht="30">
      <c r="B15" s="772">
        <v>4</v>
      </c>
      <c r="C15" s="940" t="s">
        <v>644</v>
      </c>
      <c r="D15" s="774">
        <f>'Form 13'!E53</f>
        <v>166.46</v>
      </c>
      <c r="E15" s="774">
        <f>'Form 13'!F53</f>
        <v>143.01</v>
      </c>
      <c r="F15" s="774">
        <f>'Form 13'!G53</f>
        <v>236.85000000000002</v>
      </c>
      <c r="G15" s="1335">
        <f>'Form 13'!H53</f>
        <v>194.64000000000001</v>
      </c>
    </row>
    <row r="16" spans="2:7" ht="30">
      <c r="B16" s="772">
        <v>5</v>
      </c>
      <c r="C16" s="940" t="s">
        <v>645</v>
      </c>
      <c r="D16" s="774">
        <f>'Form 13'!E54</f>
        <v>0</v>
      </c>
      <c r="E16" s="774">
        <f>'Form 13'!F54</f>
        <v>96.26700000000001</v>
      </c>
      <c r="F16" s="774">
        <f>'Form 13'!G54</f>
        <v>399.71566666666666</v>
      </c>
      <c r="G16" s="1335">
        <f>'Form 13'!H54</f>
        <v>420.35666666666668</v>
      </c>
    </row>
    <row r="17" spans="2:7" ht="15.75">
      <c r="B17" s="772">
        <v>6</v>
      </c>
      <c r="C17" s="940" t="s">
        <v>646</v>
      </c>
      <c r="D17" s="774">
        <f>'Form 13'!E55</f>
        <v>4624.1099999999997</v>
      </c>
      <c r="E17" s="774">
        <f>'Form 13'!F55</f>
        <v>4670.8530000000001</v>
      </c>
      <c r="F17" s="774">
        <f>'Form 13'!G55</f>
        <v>4507.9873333333335</v>
      </c>
      <c r="G17" s="1335">
        <f>'Form 13'!H55</f>
        <v>4282.2706666666672</v>
      </c>
    </row>
    <row r="18" spans="2:7" ht="15.75">
      <c r="B18" s="772">
        <v>7</v>
      </c>
      <c r="C18" s="940" t="s">
        <v>647</v>
      </c>
      <c r="D18" s="774">
        <f>'Form 13'!E56</f>
        <v>4575.4402941176468</v>
      </c>
      <c r="E18" s="774">
        <f>'Form 13'!F56</f>
        <v>4623.3702083333337</v>
      </c>
      <c r="F18" s="774">
        <f>'Form 13'!G56</f>
        <v>4512.499577625571</v>
      </c>
      <c r="G18" s="1335">
        <f>'Form 13'!H56</f>
        <v>4395.1290000000008</v>
      </c>
    </row>
    <row r="19" spans="2:7" ht="15.75">
      <c r="B19" s="772">
        <v>8</v>
      </c>
      <c r="C19" s="773" t="s">
        <v>648</v>
      </c>
      <c r="D19" s="775">
        <f>'Form 13'!E57</f>
        <v>0.1169154598236351</v>
      </c>
      <c r="E19" s="775">
        <f>'Form 13'!F57</f>
        <v>9.9058420451495127E-2</v>
      </c>
      <c r="F19" s="775">
        <f>'Form 13'!G57</f>
        <v>9.3765105729414516E-2</v>
      </c>
      <c r="G19" s="1336">
        <f>'Form 13'!H57</f>
        <v>9.139334767698111E-2</v>
      </c>
    </row>
    <row r="20" spans="2:7" ht="15.75">
      <c r="B20" s="772">
        <v>9</v>
      </c>
      <c r="C20" s="940" t="s">
        <v>426</v>
      </c>
      <c r="D20" s="774">
        <f>'Form 13'!E58</f>
        <v>99.66</v>
      </c>
      <c r="E20" s="774">
        <f>'Form 13'!F58</f>
        <v>150.57</v>
      </c>
      <c r="F20" s="774">
        <f>'Form 13'!G58</f>
        <v>423.11500000000001</v>
      </c>
      <c r="G20" s="1335">
        <f>'Form 13'!H58</f>
        <v>401.68555278218236</v>
      </c>
    </row>
    <row r="21" spans="2:7" ht="15.75">
      <c r="B21" s="772">
        <v>10</v>
      </c>
      <c r="C21" s="941" t="s">
        <v>812</v>
      </c>
      <c r="D21" s="429">
        <f>$D$19-D19</f>
        <v>0</v>
      </c>
      <c r="E21" s="447">
        <f>$D$19-E19</f>
        <v>1.7857039372139977E-2</v>
      </c>
      <c r="F21" s="447">
        <f>$D$19-F19</f>
        <v>2.3150354094220588E-2</v>
      </c>
      <c r="G21" s="1337">
        <f>$D$19-G19</f>
        <v>2.5522112146653994E-2</v>
      </c>
    </row>
    <row r="22" spans="2:7" ht="31.5">
      <c r="B22" s="772">
        <v>11</v>
      </c>
      <c r="C22" s="947" t="s">
        <v>1007</v>
      </c>
      <c r="D22" s="948">
        <f>D21/3</f>
        <v>0</v>
      </c>
      <c r="E22" s="948">
        <f>E21/3</f>
        <v>5.9523464573799922E-3</v>
      </c>
      <c r="F22" s="948">
        <f>F21/3</f>
        <v>7.7167846980735295E-3</v>
      </c>
      <c r="G22" s="1338">
        <f>G21/3</f>
        <v>8.5073707155513319E-3</v>
      </c>
    </row>
    <row r="23" spans="2:7" ht="31.5">
      <c r="B23" s="772">
        <v>12</v>
      </c>
      <c r="C23" s="947" t="s">
        <v>1008</v>
      </c>
      <c r="D23" s="447">
        <f>D19+D22</f>
        <v>0.1169154598236351</v>
      </c>
      <c r="E23" s="447">
        <f>E19+E22</f>
        <v>0.10501076690887512</v>
      </c>
      <c r="F23" s="447">
        <f>F19+F22</f>
        <v>0.10148189042748805</v>
      </c>
      <c r="G23" s="1337">
        <f>G19+G22</f>
        <v>9.9900718392532437E-2</v>
      </c>
    </row>
    <row r="24" spans="2:7" ht="15.75">
      <c r="B24" s="770"/>
      <c r="C24" s="939"/>
      <c r="D24" s="939"/>
      <c r="E24" s="939"/>
      <c r="F24" s="939"/>
      <c r="G24" s="949"/>
    </row>
    <row r="25" spans="2:7" ht="15.75">
      <c r="B25" s="770"/>
      <c r="C25" s="939"/>
      <c r="D25" s="939"/>
      <c r="E25" s="939"/>
      <c r="F25" s="939"/>
      <c r="G25" s="949"/>
    </row>
    <row r="26" spans="2:7" ht="15.75">
      <c r="B26" s="770"/>
      <c r="C26" s="939"/>
      <c r="D26" s="939"/>
      <c r="E26" s="939"/>
      <c r="F26" s="939"/>
      <c r="G26" s="949"/>
    </row>
    <row r="27" spans="2:7" ht="15.75">
      <c r="B27" s="770"/>
      <c r="C27" s="939"/>
      <c r="D27" s="939"/>
      <c r="E27" s="939"/>
      <c r="F27" s="939"/>
      <c r="G27" s="949"/>
    </row>
    <row r="28" spans="2:7" ht="15.75">
      <c r="B28" s="770"/>
      <c r="C28" s="939"/>
      <c r="D28" s="939"/>
      <c r="E28" s="939"/>
      <c r="F28" s="939"/>
      <c r="G28" s="949"/>
    </row>
    <row r="29" spans="2:7" ht="15.75">
      <c r="B29" s="770"/>
      <c r="C29" s="939"/>
      <c r="D29" s="939"/>
      <c r="E29" s="939"/>
      <c r="F29" s="939"/>
      <c r="G29" s="949"/>
    </row>
    <row r="30" spans="2:7" ht="15.75">
      <c r="B30" s="770"/>
      <c r="C30" s="939"/>
      <c r="D30" s="939"/>
      <c r="E30" s="939"/>
      <c r="F30" s="939"/>
      <c r="G30" s="949"/>
    </row>
    <row r="31" spans="2:7" ht="13.5" thickBot="1">
      <c r="B31" s="1339"/>
      <c r="C31" s="176"/>
      <c r="D31" s="176"/>
      <c r="E31" s="176"/>
      <c r="F31" s="176"/>
      <c r="G31" s="177"/>
    </row>
  </sheetData>
  <mergeCells count="4">
    <mergeCell ref="B10:B11"/>
    <mergeCell ref="B4:G4"/>
    <mergeCell ref="C6:D6"/>
    <mergeCell ref="C7:D7"/>
  </mergeCells>
  <pageMargins left="0.70866141732283472" right="0.70866141732283472" top="0.74803149606299213" bottom="0.74803149606299213" header="0.31496062992125984" footer="0.31496062992125984"/>
  <pageSetup scale="69" orientation="landscape" r:id="rId1"/>
</worksheet>
</file>

<file path=xl/worksheets/sheet4.xml><?xml version="1.0" encoding="utf-8"?>
<worksheet xmlns="http://schemas.openxmlformats.org/spreadsheetml/2006/main" xmlns:r="http://schemas.openxmlformats.org/officeDocument/2006/relationships">
  <dimension ref="A1:D45"/>
  <sheetViews>
    <sheetView topLeftCell="A24" workbookViewId="0">
      <selection activeCell="K33" sqref="K33"/>
    </sheetView>
  </sheetViews>
  <sheetFormatPr defaultColWidth="9.33203125" defaultRowHeight="12.75"/>
  <cols>
    <col min="1" max="1" width="15" style="957" customWidth="1"/>
    <col min="2" max="2" width="47.83203125" style="957" customWidth="1"/>
    <col min="3" max="3" width="14.5" style="957" customWidth="1"/>
    <col min="4" max="16384" width="9.33203125" style="957"/>
  </cols>
  <sheetData>
    <row r="1" spans="1:4" ht="30.2" customHeight="1">
      <c r="A1" s="954"/>
      <c r="B1" s="955"/>
      <c r="C1" s="956"/>
    </row>
    <row r="2" spans="1:4" ht="34.9" customHeight="1">
      <c r="A2" s="1491" t="s">
        <v>915</v>
      </c>
      <c r="B2" s="1492"/>
      <c r="C2" s="1493"/>
    </row>
    <row r="3" spans="1:4" ht="23.1" customHeight="1">
      <c r="A3" s="572" t="s">
        <v>916</v>
      </c>
      <c r="B3" s="571" t="s">
        <v>917</v>
      </c>
      <c r="C3" s="573" t="s">
        <v>918</v>
      </c>
    </row>
    <row r="4" spans="1:4" ht="12.75" customHeight="1">
      <c r="A4" s="785"/>
      <c r="B4" s="958"/>
      <c r="C4" s="959"/>
    </row>
    <row r="5" spans="1:4" ht="12.75" customHeight="1">
      <c r="A5" s="572" t="s">
        <v>450</v>
      </c>
      <c r="B5" s="960" t="s">
        <v>447</v>
      </c>
      <c r="C5" s="574" t="s">
        <v>919</v>
      </c>
    </row>
    <row r="6" spans="1:4" ht="12.75" customHeight="1">
      <c r="A6" s="572" t="s">
        <v>920</v>
      </c>
      <c r="B6" s="961" t="s">
        <v>921</v>
      </c>
      <c r="C6" s="574" t="s">
        <v>919</v>
      </c>
    </row>
    <row r="7" spans="1:4" ht="29.25" customHeight="1">
      <c r="A7" s="572" t="s">
        <v>922</v>
      </c>
      <c r="B7" s="962" t="s">
        <v>923</v>
      </c>
      <c r="C7" s="574" t="s">
        <v>919</v>
      </c>
    </row>
    <row r="8" spans="1:4" ht="12.75" customHeight="1">
      <c r="A8" s="572" t="s">
        <v>924</v>
      </c>
      <c r="B8" s="961" t="s">
        <v>925</v>
      </c>
      <c r="C8" s="574" t="s">
        <v>926</v>
      </c>
    </row>
    <row r="9" spans="1:4" ht="28.5" customHeight="1">
      <c r="A9" s="572" t="s">
        <v>927</v>
      </c>
      <c r="B9" s="961" t="s">
        <v>928</v>
      </c>
      <c r="C9" s="574" t="s">
        <v>919</v>
      </c>
    </row>
    <row r="10" spans="1:4" ht="28.5" customHeight="1">
      <c r="A10" s="572" t="s">
        <v>929</v>
      </c>
      <c r="B10" s="961" t="s">
        <v>930</v>
      </c>
      <c r="C10" s="574" t="s">
        <v>919</v>
      </c>
    </row>
    <row r="11" spans="1:4" ht="27.75" customHeight="1">
      <c r="A11" s="572" t="s">
        <v>931</v>
      </c>
      <c r="B11" s="961" t="s">
        <v>932</v>
      </c>
      <c r="C11" s="574" t="s">
        <v>919</v>
      </c>
    </row>
    <row r="12" spans="1:4" ht="25.5" customHeight="1">
      <c r="A12" s="572" t="s">
        <v>933</v>
      </c>
      <c r="B12" s="961" t="s">
        <v>934</v>
      </c>
      <c r="C12" s="574" t="s">
        <v>926</v>
      </c>
      <c r="D12" s="963"/>
    </row>
    <row r="13" spans="1:4" ht="19.899999999999999" hidden="1" customHeight="1">
      <c r="A13" s="572" t="s">
        <v>935</v>
      </c>
      <c r="B13" s="961" t="s">
        <v>936</v>
      </c>
      <c r="C13" s="574"/>
    </row>
    <row r="14" spans="1:4" ht="15" customHeight="1">
      <c r="A14" s="572" t="s">
        <v>937</v>
      </c>
      <c r="B14" s="961" t="s">
        <v>938</v>
      </c>
      <c r="C14" s="574" t="s">
        <v>919</v>
      </c>
    </row>
    <row r="15" spans="1:4" ht="15" customHeight="1">
      <c r="A15" s="572" t="s">
        <v>939</v>
      </c>
      <c r="B15" s="961" t="s">
        <v>823</v>
      </c>
      <c r="C15" s="574" t="s">
        <v>919</v>
      </c>
    </row>
    <row r="16" spans="1:4" ht="24.75" customHeight="1">
      <c r="A16" s="572" t="s">
        <v>940</v>
      </c>
      <c r="B16" s="961" t="s">
        <v>941</v>
      </c>
      <c r="C16" s="574" t="s">
        <v>926</v>
      </c>
    </row>
    <row r="17" spans="1:3" ht="15" customHeight="1">
      <c r="A17" s="572" t="s">
        <v>452</v>
      </c>
      <c r="B17" s="961" t="s">
        <v>942</v>
      </c>
      <c r="C17" s="574" t="s">
        <v>919</v>
      </c>
    </row>
    <row r="18" spans="1:3" ht="12.75" customHeight="1">
      <c r="A18" s="572" t="s">
        <v>943</v>
      </c>
      <c r="B18" s="961" t="s">
        <v>847</v>
      </c>
      <c r="C18" s="574" t="s">
        <v>919</v>
      </c>
    </row>
    <row r="19" spans="1:3" ht="24.75" customHeight="1">
      <c r="A19" s="572" t="s">
        <v>912</v>
      </c>
      <c r="B19" s="961" t="s">
        <v>944</v>
      </c>
      <c r="C19" s="574" t="s">
        <v>919</v>
      </c>
    </row>
    <row r="20" spans="1:3" ht="15" customHeight="1">
      <c r="A20" s="572" t="s">
        <v>415</v>
      </c>
      <c r="B20" s="961" t="s">
        <v>982</v>
      </c>
      <c r="C20" s="574" t="s">
        <v>919</v>
      </c>
    </row>
    <row r="21" spans="1:3" ht="15" customHeight="1">
      <c r="A21" s="572" t="s">
        <v>984</v>
      </c>
      <c r="B21" s="964" t="str">
        <f>Form13B!B5</f>
        <v>Calculation of Interest on Normative Loan</v>
      </c>
      <c r="C21" s="574" t="s">
        <v>919</v>
      </c>
    </row>
    <row r="22" spans="1:3" ht="15.75" customHeight="1">
      <c r="A22" s="786" t="s">
        <v>878</v>
      </c>
      <c r="B22" s="965" t="s">
        <v>945</v>
      </c>
      <c r="C22" s="738" t="s">
        <v>919</v>
      </c>
    </row>
    <row r="23" spans="1:3" ht="26.25" hidden="1" customHeight="1">
      <c r="A23" s="572" t="s">
        <v>946</v>
      </c>
      <c r="B23" s="966" t="s">
        <v>947</v>
      </c>
      <c r="C23" s="574" t="s">
        <v>919</v>
      </c>
    </row>
    <row r="24" spans="1:3" ht="25.5" customHeight="1">
      <c r="A24" s="572" t="s">
        <v>948</v>
      </c>
      <c r="B24" s="961" t="s">
        <v>949</v>
      </c>
      <c r="C24" s="574" t="s">
        <v>919</v>
      </c>
    </row>
    <row r="25" spans="1:3" ht="25.5" customHeight="1">
      <c r="A25" s="572" t="s">
        <v>950</v>
      </c>
      <c r="B25" s="961" t="s">
        <v>951</v>
      </c>
      <c r="C25" s="574" t="s">
        <v>926</v>
      </c>
    </row>
    <row r="26" spans="1:3" ht="25.5" customHeight="1">
      <c r="A26" s="787" t="s">
        <v>952</v>
      </c>
      <c r="B26" s="967" t="s">
        <v>953</v>
      </c>
      <c r="C26" s="739" t="s">
        <v>919</v>
      </c>
    </row>
    <row r="27" spans="1:3" ht="14.25" customHeight="1">
      <c r="A27" s="788" t="s">
        <v>304</v>
      </c>
      <c r="B27" s="953" t="s">
        <v>305</v>
      </c>
      <c r="C27" s="739" t="s">
        <v>919</v>
      </c>
    </row>
    <row r="28" spans="1:3" ht="30.75" customHeight="1">
      <c r="A28" s="788" t="s">
        <v>881</v>
      </c>
      <c r="B28" s="953" t="s">
        <v>954</v>
      </c>
      <c r="C28" s="574" t="s">
        <v>919</v>
      </c>
    </row>
    <row r="29" spans="1:3" ht="30.75" customHeight="1">
      <c r="A29" s="788" t="s">
        <v>965</v>
      </c>
      <c r="B29" s="953" t="s">
        <v>964</v>
      </c>
      <c r="C29" s="574" t="s">
        <v>919</v>
      </c>
    </row>
    <row r="30" spans="1:3" ht="30.75" customHeight="1">
      <c r="A30" s="788" t="s">
        <v>967</v>
      </c>
      <c r="B30" s="953" t="s">
        <v>968</v>
      </c>
      <c r="C30" s="574" t="s">
        <v>919</v>
      </c>
    </row>
    <row r="31" spans="1:3" ht="21" customHeight="1">
      <c r="A31" s="1486" t="s">
        <v>955</v>
      </c>
      <c r="B31" s="1487"/>
      <c r="C31" s="574"/>
    </row>
    <row r="32" spans="1:3" ht="27" customHeight="1">
      <c r="A32" s="788" t="s">
        <v>417</v>
      </c>
      <c r="B32" s="789" t="s">
        <v>956</v>
      </c>
      <c r="C32" s="573" t="s">
        <v>918</v>
      </c>
    </row>
    <row r="33" spans="1:3" ht="69" customHeight="1">
      <c r="A33" s="790">
        <v>1</v>
      </c>
      <c r="B33" s="966" t="s">
        <v>1108</v>
      </c>
      <c r="C33" s="740"/>
    </row>
    <row r="34" spans="1:3" ht="53.25" customHeight="1">
      <c r="A34" s="791">
        <v>2</v>
      </c>
      <c r="B34" s="967" t="s">
        <v>1109</v>
      </c>
      <c r="C34" s="741"/>
    </row>
    <row r="35" spans="1:3" ht="12.75" customHeight="1">
      <c r="A35" s="792">
        <v>3</v>
      </c>
      <c r="B35" s="968" t="s">
        <v>957</v>
      </c>
      <c r="C35" s="741"/>
    </row>
    <row r="36" spans="1:3" ht="27" customHeight="1">
      <c r="A36" s="790">
        <v>4</v>
      </c>
      <c r="B36" s="966" t="s">
        <v>958</v>
      </c>
      <c r="C36" s="741"/>
    </row>
    <row r="37" spans="1:3" ht="29.25" customHeight="1">
      <c r="A37" s="793">
        <v>5</v>
      </c>
      <c r="B37" s="961" t="s">
        <v>959</v>
      </c>
      <c r="C37" s="741"/>
    </row>
    <row r="38" spans="1:3" ht="15.75" customHeight="1">
      <c r="A38" s="793">
        <v>7</v>
      </c>
      <c r="B38" s="961" t="s">
        <v>960</v>
      </c>
      <c r="C38" s="741"/>
    </row>
    <row r="39" spans="1:3" ht="26.25" customHeight="1">
      <c r="A39" s="791">
        <v>8</v>
      </c>
      <c r="B39" s="967" t="s">
        <v>961</v>
      </c>
      <c r="C39" s="742"/>
    </row>
    <row r="40" spans="1:3" ht="15" customHeight="1">
      <c r="A40" s="792">
        <v>9</v>
      </c>
      <c r="B40" s="953" t="s">
        <v>962</v>
      </c>
      <c r="C40" s="741"/>
    </row>
    <row r="41" spans="1:3" ht="26.25" customHeight="1" thickBot="1">
      <c r="A41" s="1488" t="s">
        <v>963</v>
      </c>
      <c r="B41" s="1489"/>
      <c r="C41" s="1490"/>
    </row>
    <row r="42" spans="1:3" ht="21.6" customHeight="1"/>
    <row r="43" spans="1:3" ht="12.75" customHeight="1"/>
    <row r="44" spans="1:3" ht="12.75" customHeight="1"/>
    <row r="45" spans="1:3" ht="9.9499999999999993" customHeight="1">
      <c r="A45" s="969"/>
    </row>
  </sheetData>
  <mergeCells count="3">
    <mergeCell ref="A31:B31"/>
    <mergeCell ref="A41:C41"/>
    <mergeCell ref="A2:C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sheetPr>
    <pageSetUpPr fitToPage="1"/>
  </sheetPr>
  <dimension ref="A1:X91"/>
  <sheetViews>
    <sheetView workbookViewId="0">
      <selection activeCell="J15" sqref="J15"/>
    </sheetView>
  </sheetViews>
  <sheetFormatPr defaultColWidth="9.33203125" defaultRowHeight="15"/>
  <cols>
    <col min="1" max="1" width="15.5" style="190" customWidth="1"/>
    <col min="2" max="2" width="20.1640625" style="190" customWidth="1"/>
    <col min="3" max="8" width="15.33203125" style="190" customWidth="1"/>
    <col min="9" max="23" width="16.5" style="190" customWidth="1"/>
    <col min="24" max="16384" width="9.33203125" style="190"/>
  </cols>
  <sheetData>
    <row r="1" spans="1:24" ht="15.75" thickBot="1">
      <c r="I1" s="191"/>
      <c r="J1" s="191"/>
      <c r="K1" s="191"/>
      <c r="L1" s="191"/>
      <c r="M1" s="191"/>
      <c r="N1" s="191"/>
      <c r="O1" s="191"/>
      <c r="P1" s="191"/>
      <c r="Q1" s="191"/>
      <c r="R1" s="191"/>
      <c r="S1" s="191"/>
      <c r="T1" s="191"/>
      <c r="U1" s="191"/>
      <c r="V1" s="191"/>
      <c r="W1" s="191"/>
    </row>
    <row r="2" spans="1:24">
      <c r="A2" s="194"/>
      <c r="B2" s="195"/>
      <c r="C2" s="195"/>
      <c r="D2" s="195"/>
      <c r="E2" s="195"/>
      <c r="F2" s="195"/>
      <c r="G2" s="195"/>
      <c r="H2" s="195"/>
      <c r="X2" s="196"/>
    </row>
    <row r="3" spans="1:24" ht="17.25">
      <c r="A3" s="196"/>
      <c r="V3" s="766" t="s">
        <v>965</v>
      </c>
      <c r="X3" s="196"/>
    </row>
    <row r="4" spans="1:24" ht="12.75" customHeight="1">
      <c r="A4" s="196"/>
      <c r="X4" s="196"/>
    </row>
    <row r="5" spans="1:24" ht="24.75" customHeight="1">
      <c r="A5" s="1694" t="s">
        <v>983</v>
      </c>
      <c r="B5" s="1695"/>
      <c r="C5" s="1695"/>
      <c r="D5" s="1695"/>
      <c r="E5" s="1695"/>
      <c r="F5" s="1695"/>
      <c r="G5" s="1695"/>
      <c r="H5" s="1695"/>
      <c r="I5" s="1695"/>
      <c r="J5" s="1695"/>
      <c r="K5" s="1695"/>
      <c r="L5" s="1695"/>
      <c r="M5" s="1695"/>
      <c r="N5" s="1695"/>
      <c r="O5" s="1695"/>
      <c r="P5" s="1695"/>
      <c r="Q5" s="1695"/>
      <c r="R5" s="1695"/>
      <c r="S5" s="1695"/>
      <c r="T5" s="1695"/>
      <c r="U5" s="1695"/>
      <c r="V5" s="1695"/>
      <c r="W5" s="1696"/>
      <c r="X5" s="196"/>
    </row>
    <row r="6" spans="1:24">
      <c r="A6" s="208"/>
      <c r="B6" s="200"/>
      <c r="C6" s="200"/>
      <c r="D6" s="200"/>
      <c r="E6" s="200"/>
      <c r="F6" s="200"/>
      <c r="G6" s="200"/>
      <c r="H6" s="200"/>
      <c r="X6" s="196"/>
    </row>
    <row r="7" spans="1:24" ht="19.899999999999999" customHeight="1">
      <c r="A7" s="1575" t="s">
        <v>498</v>
      </c>
      <c r="B7" s="1576"/>
      <c r="C7" s="1570" t="s">
        <v>464</v>
      </c>
      <c r="D7" s="1570"/>
      <c r="E7" s="1570"/>
      <c r="F7" s="1570"/>
      <c r="G7" s="1570"/>
      <c r="H7" s="1570"/>
      <c r="X7" s="196"/>
    </row>
    <row r="8" spans="1:24" ht="16.899999999999999" customHeight="1">
      <c r="A8" s="1575" t="s">
        <v>499</v>
      </c>
      <c r="B8" s="1576"/>
      <c r="C8" s="1570" t="s">
        <v>1107</v>
      </c>
      <c r="D8" s="1570"/>
      <c r="E8" s="1570"/>
      <c r="F8" s="1570"/>
      <c r="G8" s="1570"/>
      <c r="H8" s="1570"/>
      <c r="X8" s="196"/>
    </row>
    <row r="9" spans="1:24" ht="19.5" customHeight="1" thickBot="1">
      <c r="A9" s="210"/>
      <c r="B9" s="192"/>
      <c r="C9" s="335"/>
      <c r="D9" s="335"/>
      <c r="E9" s="335"/>
      <c r="F9" s="335"/>
      <c r="G9" s="335"/>
      <c r="H9" s="335"/>
      <c r="I9" s="191"/>
      <c r="J9" s="191"/>
      <c r="X9" s="196"/>
    </row>
    <row r="10" spans="1:24" ht="31.15" customHeight="1">
      <c r="A10" s="1927" t="s">
        <v>417</v>
      </c>
      <c r="B10" s="1928" t="s">
        <v>500</v>
      </c>
      <c r="C10" s="1913" t="s">
        <v>837</v>
      </c>
      <c r="D10" s="1922" t="s">
        <v>839</v>
      </c>
      <c r="E10" s="1924" t="s">
        <v>840</v>
      </c>
      <c r="F10" s="1913" t="s">
        <v>838</v>
      </c>
      <c r="G10" s="1913" t="s">
        <v>842</v>
      </c>
      <c r="H10" s="1911" t="s">
        <v>841</v>
      </c>
      <c r="I10" s="1921" t="s">
        <v>843</v>
      </c>
      <c r="J10" s="1921" t="s">
        <v>1044</v>
      </c>
      <c r="K10" s="1911" t="s">
        <v>1045</v>
      </c>
      <c r="L10" s="1913" t="s">
        <v>1039</v>
      </c>
      <c r="M10" s="1913" t="s">
        <v>1046</v>
      </c>
      <c r="N10" s="1911" t="s">
        <v>1047</v>
      </c>
      <c r="O10" s="1913" t="s">
        <v>1040</v>
      </c>
      <c r="P10" s="1913" t="s">
        <v>1048</v>
      </c>
      <c r="Q10" s="1911" t="s">
        <v>1049</v>
      </c>
      <c r="R10" s="1913" t="s">
        <v>1041</v>
      </c>
      <c r="S10" s="1913" t="s">
        <v>1050</v>
      </c>
      <c r="T10" s="1911" t="s">
        <v>1051</v>
      </c>
      <c r="U10" s="1913" t="s">
        <v>1042</v>
      </c>
      <c r="V10" s="1913" t="s">
        <v>1052</v>
      </c>
      <c r="W10" s="1926" t="s">
        <v>1053</v>
      </c>
      <c r="X10" s="196"/>
    </row>
    <row r="11" spans="1:24" ht="57" customHeight="1">
      <c r="A11" s="1571"/>
      <c r="B11" s="1580"/>
      <c r="C11" s="1914"/>
      <c r="D11" s="1923"/>
      <c r="E11" s="1925"/>
      <c r="F11" s="1914"/>
      <c r="G11" s="1914"/>
      <c r="H11" s="1912"/>
      <c r="I11" s="1914"/>
      <c r="J11" s="1914"/>
      <c r="K11" s="1912"/>
      <c r="L11" s="1914"/>
      <c r="M11" s="1914"/>
      <c r="N11" s="1912"/>
      <c r="O11" s="1914"/>
      <c r="P11" s="1914"/>
      <c r="Q11" s="1912"/>
      <c r="R11" s="1914"/>
      <c r="S11" s="1914"/>
      <c r="T11" s="1912"/>
      <c r="U11" s="1914"/>
      <c r="V11" s="1914"/>
      <c r="W11" s="1583"/>
      <c r="X11" s="196"/>
    </row>
    <row r="12" spans="1:24">
      <c r="A12" s="584">
        <v>-1</v>
      </c>
      <c r="B12" s="585">
        <v>-2</v>
      </c>
      <c r="C12" s="584">
        <v>-3</v>
      </c>
      <c r="D12" s="585">
        <v>-4</v>
      </c>
      <c r="E12" s="584">
        <v>-5</v>
      </c>
      <c r="F12" s="585">
        <v>-6</v>
      </c>
      <c r="G12" s="584">
        <v>-7</v>
      </c>
      <c r="H12" s="752">
        <v>-8</v>
      </c>
      <c r="I12" s="584">
        <v>-9</v>
      </c>
      <c r="J12" s="752">
        <v>-10</v>
      </c>
      <c r="K12" s="584">
        <v>-11</v>
      </c>
      <c r="L12" s="752">
        <v>-12</v>
      </c>
      <c r="M12" s="584">
        <v>-13</v>
      </c>
      <c r="N12" s="752">
        <v>-14</v>
      </c>
      <c r="O12" s="584">
        <v>-15</v>
      </c>
      <c r="P12" s="752">
        <v>-16</v>
      </c>
      <c r="Q12" s="584">
        <v>-17</v>
      </c>
      <c r="R12" s="752">
        <v>-18</v>
      </c>
      <c r="S12" s="584">
        <v>-19</v>
      </c>
      <c r="T12" s="752">
        <v>-20</v>
      </c>
      <c r="U12" s="584">
        <v>-21</v>
      </c>
      <c r="V12" s="752">
        <v>-22</v>
      </c>
      <c r="W12" s="584">
        <v>-23</v>
      </c>
      <c r="X12" s="196"/>
    </row>
    <row r="13" spans="1:24">
      <c r="A13" s="211">
        <v>1</v>
      </c>
      <c r="B13" s="222" t="s">
        <v>505</v>
      </c>
      <c r="C13" s="359"/>
      <c r="D13" s="359"/>
      <c r="E13" s="359"/>
      <c r="F13" s="359"/>
      <c r="G13" s="359"/>
      <c r="H13" s="359"/>
      <c r="I13" s="347"/>
      <c r="J13" s="347"/>
      <c r="K13" s="347"/>
      <c r="L13" s="347"/>
      <c r="M13" s="347"/>
      <c r="N13" s="347"/>
      <c r="O13" s="347"/>
      <c r="P13" s="347"/>
      <c r="Q13" s="347"/>
      <c r="R13" s="347"/>
      <c r="S13" s="347"/>
      <c r="T13" s="347"/>
      <c r="U13" s="347"/>
      <c r="V13" s="347"/>
      <c r="W13" s="753"/>
      <c r="X13" s="196"/>
    </row>
    <row r="14" spans="1:24" ht="14.45" customHeight="1">
      <c r="A14" s="336">
        <v>1.1000000000000001</v>
      </c>
      <c r="B14" s="369" t="s">
        <v>506</v>
      </c>
      <c r="C14" s="360"/>
      <c r="D14" s="360"/>
      <c r="E14" s="360"/>
      <c r="F14" s="360"/>
      <c r="G14" s="360"/>
      <c r="H14" s="360"/>
      <c r="I14" s="347"/>
      <c r="J14" s="347"/>
      <c r="K14" s="347"/>
      <c r="L14" s="347"/>
      <c r="M14" s="347"/>
      <c r="N14" s="347"/>
      <c r="O14" s="347"/>
      <c r="P14" s="347"/>
      <c r="Q14" s="347"/>
      <c r="R14" s="347"/>
      <c r="S14" s="347"/>
      <c r="T14" s="347"/>
      <c r="U14" s="347"/>
      <c r="V14" s="347"/>
      <c r="W14" s="753"/>
      <c r="X14" s="196"/>
    </row>
    <row r="15" spans="1:24">
      <c r="A15" s="336">
        <v>1.2</v>
      </c>
      <c r="B15" s="369" t="s">
        <v>508</v>
      </c>
      <c r="C15" s="361"/>
      <c r="D15" s="361"/>
      <c r="E15" s="361"/>
      <c r="F15" s="361"/>
      <c r="G15" s="361"/>
      <c r="H15" s="361"/>
      <c r="I15" s="347"/>
      <c r="J15" s="347"/>
      <c r="K15" s="347"/>
      <c r="L15" s="347"/>
      <c r="M15" s="347"/>
      <c r="N15" s="347"/>
      <c r="O15" s="347"/>
      <c r="P15" s="347"/>
      <c r="Q15" s="347"/>
      <c r="R15" s="347"/>
      <c r="S15" s="347"/>
      <c r="T15" s="347"/>
      <c r="U15" s="347"/>
      <c r="V15" s="347"/>
      <c r="W15" s="753"/>
      <c r="X15" s="196"/>
    </row>
    <row r="16" spans="1:24">
      <c r="A16" s="336">
        <v>1.3</v>
      </c>
      <c r="B16" s="369" t="s">
        <v>509</v>
      </c>
      <c r="C16" s="361"/>
      <c r="D16" s="361"/>
      <c r="E16" s="361"/>
      <c r="F16" s="361"/>
      <c r="G16" s="361"/>
      <c r="H16" s="361"/>
      <c r="I16" s="347"/>
      <c r="J16" s="347"/>
      <c r="K16" s="347"/>
      <c r="L16" s="347"/>
      <c r="M16" s="347"/>
      <c r="N16" s="347"/>
      <c r="O16" s="347"/>
      <c r="P16" s="347"/>
      <c r="Q16" s="347"/>
      <c r="R16" s="347"/>
      <c r="S16" s="347"/>
      <c r="T16" s="347"/>
      <c r="U16" s="347"/>
      <c r="V16" s="347"/>
      <c r="W16" s="753"/>
      <c r="X16" s="196"/>
    </row>
    <row r="17" spans="1:24">
      <c r="A17" s="336">
        <v>1.4</v>
      </c>
      <c r="B17" s="369" t="s">
        <v>510</v>
      </c>
      <c r="C17" s="361"/>
      <c r="D17" s="361"/>
      <c r="E17" s="361"/>
      <c r="F17" s="361"/>
      <c r="G17" s="361"/>
      <c r="H17" s="361"/>
      <c r="I17" s="347"/>
      <c r="J17" s="347"/>
      <c r="K17" s="347"/>
      <c r="L17" s="347"/>
      <c r="M17" s="347"/>
      <c r="N17" s="347"/>
      <c r="O17" s="347"/>
      <c r="P17" s="347"/>
      <c r="Q17" s="347"/>
      <c r="R17" s="347"/>
      <c r="S17" s="347"/>
      <c r="T17" s="347"/>
      <c r="U17" s="347"/>
      <c r="V17" s="347"/>
      <c r="W17" s="753"/>
      <c r="X17" s="196"/>
    </row>
    <row r="18" spans="1:24">
      <c r="A18" s="336">
        <v>1.5</v>
      </c>
      <c r="B18" s="369" t="s">
        <v>511</v>
      </c>
      <c r="C18" s="361"/>
      <c r="D18" s="361"/>
      <c r="E18" s="361"/>
      <c r="F18" s="361"/>
      <c r="G18" s="361"/>
      <c r="H18" s="361"/>
      <c r="I18" s="347"/>
      <c r="J18" s="347"/>
      <c r="K18" s="347"/>
      <c r="L18" s="347"/>
      <c r="M18" s="347"/>
      <c r="N18" s="347"/>
      <c r="O18" s="347"/>
      <c r="P18" s="347"/>
      <c r="Q18" s="347"/>
      <c r="R18" s="347"/>
      <c r="S18" s="347"/>
      <c r="T18" s="347"/>
      <c r="U18" s="347"/>
      <c r="V18" s="347"/>
      <c r="W18" s="753"/>
      <c r="X18" s="196"/>
    </row>
    <row r="19" spans="1:24">
      <c r="A19" s="336">
        <v>1.6</v>
      </c>
      <c r="B19" s="369" t="s">
        <v>512</v>
      </c>
      <c r="C19" s="361"/>
      <c r="D19" s="361"/>
      <c r="E19" s="361"/>
      <c r="F19" s="361"/>
      <c r="G19" s="361"/>
      <c r="H19" s="361"/>
      <c r="I19" s="347"/>
      <c r="J19" s="347"/>
      <c r="K19" s="347"/>
      <c r="L19" s="347"/>
      <c r="M19" s="347"/>
      <c r="N19" s="347"/>
      <c r="O19" s="347"/>
      <c r="P19" s="347"/>
      <c r="Q19" s="347"/>
      <c r="R19" s="347"/>
      <c r="S19" s="347"/>
      <c r="T19" s="347"/>
      <c r="U19" s="347"/>
      <c r="V19" s="347"/>
      <c r="W19" s="753"/>
      <c r="X19" s="196"/>
    </row>
    <row r="20" spans="1:24" ht="24">
      <c r="A20" s="336">
        <v>1.7</v>
      </c>
      <c r="B20" s="369" t="s">
        <v>513</v>
      </c>
      <c r="C20" s="361"/>
      <c r="D20" s="361"/>
      <c r="E20" s="361"/>
      <c r="F20" s="361"/>
      <c r="G20" s="361"/>
      <c r="H20" s="361"/>
      <c r="I20" s="347"/>
      <c r="J20" s="347"/>
      <c r="K20" s="347"/>
      <c r="L20" s="347"/>
      <c r="M20" s="347"/>
      <c r="N20" s="347"/>
      <c r="O20" s="347"/>
      <c r="P20" s="347"/>
      <c r="Q20" s="347"/>
      <c r="R20" s="347"/>
      <c r="S20" s="347"/>
      <c r="T20" s="347"/>
      <c r="U20" s="347"/>
      <c r="V20" s="347"/>
      <c r="W20" s="753"/>
      <c r="X20" s="196"/>
    </row>
    <row r="21" spans="1:24">
      <c r="A21" s="211">
        <v>1.8</v>
      </c>
      <c r="B21" s="333" t="s">
        <v>514</v>
      </c>
      <c r="C21" s="441">
        <v>4772.1400000000003</v>
      </c>
      <c r="D21" s="441">
        <f>4280.7+75.05</f>
        <v>4355.75</v>
      </c>
      <c r="E21" s="441">
        <f>C21-D21</f>
        <v>416.39000000000033</v>
      </c>
      <c r="F21" s="441">
        <v>4772.1400000000003</v>
      </c>
      <c r="G21" s="441">
        <f>4280.7+75.05+237.09</f>
        <v>4592.84</v>
      </c>
      <c r="H21" s="441">
        <f>F21-G21</f>
        <v>179.30000000000018</v>
      </c>
      <c r="I21" s="347"/>
      <c r="J21" s="347"/>
      <c r="K21" s="347"/>
      <c r="L21" s="347"/>
      <c r="M21" s="347"/>
      <c r="N21" s="347"/>
      <c r="O21" s="347"/>
      <c r="P21" s="347"/>
      <c r="Q21" s="347"/>
      <c r="R21" s="347"/>
      <c r="S21" s="347"/>
      <c r="T21" s="347"/>
      <c r="U21" s="347"/>
      <c r="V21" s="347"/>
      <c r="W21" s="753"/>
      <c r="X21" s="196"/>
    </row>
    <row r="22" spans="1:24">
      <c r="A22" s="211">
        <v>2</v>
      </c>
      <c r="B22" s="1915" t="s">
        <v>515</v>
      </c>
      <c r="C22" s="1916"/>
      <c r="D22" s="1916"/>
      <c r="E22" s="1916"/>
      <c r="F22" s="1916"/>
      <c r="G22" s="1916"/>
      <c r="H22" s="1916"/>
      <c r="I22" s="1916"/>
      <c r="J22" s="1916"/>
      <c r="K22" s="1916"/>
      <c r="L22" s="1916"/>
      <c r="M22" s="1916"/>
      <c r="N22" s="1916"/>
      <c r="O22" s="1916"/>
      <c r="P22" s="1916"/>
      <c r="Q22" s="1916"/>
      <c r="R22" s="1916"/>
      <c r="S22" s="1916"/>
      <c r="T22" s="1916"/>
      <c r="U22" s="1916"/>
      <c r="V22" s="1916"/>
      <c r="W22" s="1917"/>
      <c r="X22" s="196"/>
    </row>
    <row r="23" spans="1:24" ht="22.9" customHeight="1">
      <c r="A23" s="336">
        <v>2.1</v>
      </c>
      <c r="B23" s="369" t="s">
        <v>516</v>
      </c>
      <c r="C23" s="361"/>
      <c r="D23" s="361"/>
      <c r="E23" s="361"/>
      <c r="F23" s="361"/>
      <c r="G23" s="361"/>
      <c r="H23" s="361"/>
      <c r="I23" s="347"/>
      <c r="J23" s="347"/>
      <c r="K23" s="347"/>
      <c r="L23" s="347"/>
      <c r="M23" s="347"/>
      <c r="N23" s="347"/>
      <c r="O23" s="347"/>
      <c r="P23" s="347"/>
      <c r="Q23" s="347"/>
      <c r="R23" s="347"/>
      <c r="S23" s="347"/>
      <c r="T23" s="347"/>
      <c r="U23" s="347"/>
      <c r="V23" s="347"/>
      <c r="W23" s="753"/>
      <c r="X23" s="196"/>
    </row>
    <row r="24" spans="1:24">
      <c r="A24" s="336">
        <v>2.2000000000000002</v>
      </c>
      <c r="B24" s="369" t="s">
        <v>518</v>
      </c>
      <c r="C24" s="361"/>
      <c r="D24" s="361"/>
      <c r="E24" s="361"/>
      <c r="F24" s="361"/>
      <c r="G24" s="361"/>
      <c r="H24" s="361"/>
      <c r="I24" s="347"/>
      <c r="J24" s="347"/>
      <c r="K24" s="347"/>
      <c r="L24" s="347"/>
      <c r="M24" s="347"/>
      <c r="N24" s="347"/>
      <c r="O24" s="347"/>
      <c r="P24" s="347"/>
      <c r="Q24" s="347"/>
      <c r="R24" s="347"/>
      <c r="S24" s="347"/>
      <c r="T24" s="347"/>
      <c r="U24" s="347"/>
      <c r="V24" s="347"/>
      <c r="W24" s="753"/>
      <c r="X24" s="196"/>
    </row>
    <row r="25" spans="1:24">
      <c r="A25" s="336">
        <v>2.2999999999999998</v>
      </c>
      <c r="B25" s="369" t="s">
        <v>519</v>
      </c>
      <c r="C25" s="361"/>
      <c r="D25" s="361"/>
      <c r="E25" s="361"/>
      <c r="F25" s="361"/>
      <c r="G25" s="361"/>
      <c r="H25" s="361"/>
      <c r="I25" s="347"/>
      <c r="J25" s="347"/>
      <c r="K25" s="347"/>
      <c r="L25" s="347"/>
      <c r="M25" s="347"/>
      <c r="N25" s="347"/>
      <c r="O25" s="347"/>
      <c r="P25" s="347"/>
      <c r="Q25" s="347"/>
      <c r="R25" s="347"/>
      <c r="S25" s="347"/>
      <c r="T25" s="347"/>
      <c r="U25" s="347"/>
      <c r="V25" s="347"/>
      <c r="W25" s="753"/>
      <c r="X25" s="196"/>
    </row>
    <row r="26" spans="1:24">
      <c r="A26" s="336">
        <v>2.4</v>
      </c>
      <c r="B26" s="369" t="s">
        <v>520</v>
      </c>
      <c r="C26" s="361"/>
      <c r="D26" s="361"/>
      <c r="E26" s="361"/>
      <c r="F26" s="361"/>
      <c r="G26" s="361"/>
      <c r="H26" s="361"/>
      <c r="I26" s="347"/>
      <c r="J26" s="347"/>
      <c r="K26" s="347"/>
      <c r="L26" s="347"/>
      <c r="M26" s="347"/>
      <c r="N26" s="347"/>
      <c r="O26" s="347"/>
      <c r="P26" s="347"/>
      <c r="Q26" s="347"/>
      <c r="R26" s="347"/>
      <c r="S26" s="347"/>
      <c r="T26" s="347"/>
      <c r="U26" s="347"/>
      <c r="V26" s="347"/>
      <c r="W26" s="753"/>
      <c r="X26" s="196"/>
    </row>
    <row r="27" spans="1:24">
      <c r="A27" s="336">
        <v>2.5</v>
      </c>
      <c r="B27" s="369" t="s">
        <v>511</v>
      </c>
      <c r="C27" s="361"/>
      <c r="D27" s="361"/>
      <c r="E27" s="361"/>
      <c r="F27" s="361"/>
      <c r="G27" s="361"/>
      <c r="H27" s="361"/>
      <c r="I27" s="347"/>
      <c r="J27" s="347"/>
      <c r="K27" s="347"/>
      <c r="L27" s="347"/>
      <c r="M27" s="347"/>
      <c r="N27" s="347"/>
      <c r="O27" s="347"/>
      <c r="P27" s="347"/>
      <c r="Q27" s="347"/>
      <c r="R27" s="347"/>
      <c r="S27" s="347"/>
      <c r="T27" s="347"/>
      <c r="U27" s="347"/>
      <c r="V27" s="347"/>
      <c r="W27" s="753"/>
      <c r="X27" s="196"/>
    </row>
    <row r="28" spans="1:24">
      <c r="A28" s="336">
        <v>2.6</v>
      </c>
      <c r="B28" s="369" t="s">
        <v>521</v>
      </c>
      <c r="C28" s="361"/>
      <c r="D28" s="361"/>
      <c r="E28" s="361"/>
      <c r="F28" s="361"/>
      <c r="G28" s="361"/>
      <c r="H28" s="361"/>
      <c r="I28" s="347"/>
      <c r="J28" s="347"/>
      <c r="K28" s="347"/>
      <c r="L28" s="347"/>
      <c r="M28" s="347"/>
      <c r="N28" s="347"/>
      <c r="O28" s="347"/>
      <c r="P28" s="347"/>
      <c r="Q28" s="347"/>
      <c r="R28" s="347"/>
      <c r="S28" s="347"/>
      <c r="T28" s="347"/>
      <c r="U28" s="347"/>
      <c r="V28" s="347"/>
      <c r="W28" s="375"/>
    </row>
    <row r="29" spans="1:24">
      <c r="A29" s="211">
        <v>2.7</v>
      </c>
      <c r="B29" s="333" t="s">
        <v>522</v>
      </c>
      <c r="C29" s="441">
        <v>877.1</v>
      </c>
      <c r="D29" s="441">
        <f>835.71+37.09</f>
        <v>872.80000000000007</v>
      </c>
      <c r="E29" s="441">
        <f>C29-D29</f>
        <v>4.2999999999999545</v>
      </c>
      <c r="F29" s="441">
        <v>977.42</v>
      </c>
      <c r="G29" s="441">
        <f>835.71+37.09+73.5</f>
        <v>946.30000000000007</v>
      </c>
      <c r="H29" s="441">
        <f>F29-G29</f>
        <v>31.119999999999891</v>
      </c>
      <c r="I29" s="347"/>
      <c r="J29" s="347"/>
      <c r="K29" s="347"/>
      <c r="L29" s="347"/>
      <c r="M29" s="347"/>
      <c r="N29" s="347"/>
      <c r="O29" s="347"/>
      <c r="P29" s="347"/>
      <c r="Q29" s="347"/>
      <c r="R29" s="347"/>
      <c r="S29" s="347"/>
      <c r="T29" s="347"/>
      <c r="U29" s="347"/>
      <c r="V29" s="347"/>
      <c r="W29" s="375"/>
    </row>
    <row r="30" spans="1:24">
      <c r="A30" s="211">
        <v>3</v>
      </c>
      <c r="B30" s="1918" t="s">
        <v>523</v>
      </c>
      <c r="C30" s="1919"/>
      <c r="D30" s="1919"/>
      <c r="E30" s="1919"/>
      <c r="F30" s="1919"/>
      <c r="G30" s="1919"/>
      <c r="H30" s="1919"/>
      <c r="I30" s="1919"/>
      <c r="J30" s="1919"/>
      <c r="K30" s="1919"/>
      <c r="L30" s="1919"/>
      <c r="M30" s="1919"/>
      <c r="N30" s="1919"/>
      <c r="O30" s="1919"/>
      <c r="P30" s="1919"/>
      <c r="Q30" s="1919"/>
      <c r="R30" s="1919"/>
      <c r="S30" s="1919"/>
      <c r="T30" s="1919"/>
      <c r="U30" s="1919"/>
      <c r="V30" s="1919"/>
      <c r="W30" s="1920"/>
    </row>
    <row r="31" spans="1:24" ht="53.25" customHeight="1">
      <c r="A31" s="336">
        <v>3.1</v>
      </c>
      <c r="B31" s="369" t="s">
        <v>524</v>
      </c>
      <c r="C31" s="361">
        <v>39.71</v>
      </c>
      <c r="D31" s="361">
        <f>C31</f>
        <v>39.71</v>
      </c>
      <c r="E31" s="361">
        <f t="shared" ref="E31:E50" si="0">C31-D31</f>
        <v>0</v>
      </c>
      <c r="F31" s="361">
        <v>39.869999999999997</v>
      </c>
      <c r="G31" s="361">
        <f>F31</f>
        <v>39.869999999999997</v>
      </c>
      <c r="H31" s="361">
        <f>G31-F31</f>
        <v>0</v>
      </c>
      <c r="I31" s="347"/>
      <c r="J31" s="347"/>
      <c r="K31" s="347"/>
      <c r="L31" s="347"/>
      <c r="M31" s="347"/>
      <c r="N31" s="347"/>
      <c r="O31" s="347"/>
      <c r="P31" s="347"/>
      <c r="Q31" s="347"/>
      <c r="R31" s="347"/>
      <c r="S31" s="347"/>
      <c r="T31" s="347"/>
      <c r="U31" s="347"/>
      <c r="V31" s="347"/>
      <c r="W31" s="375"/>
    </row>
    <row r="32" spans="1:24" ht="26.45" customHeight="1">
      <c r="A32" s="336">
        <v>3.2</v>
      </c>
      <c r="B32" s="369" t="s">
        <v>526</v>
      </c>
      <c r="C32" s="361">
        <v>0.02</v>
      </c>
      <c r="D32" s="361">
        <f t="shared" ref="D32:D44" si="1">C32</f>
        <v>0.02</v>
      </c>
      <c r="E32" s="361">
        <f t="shared" si="0"/>
        <v>0</v>
      </c>
      <c r="F32" s="361">
        <v>0.02</v>
      </c>
      <c r="G32" s="361">
        <f t="shared" ref="G32:G44" si="2">F32</f>
        <v>0.02</v>
      </c>
      <c r="H32" s="361">
        <f t="shared" ref="H32:H51" si="3">G32-F32</f>
        <v>0</v>
      </c>
      <c r="I32" s="347"/>
      <c r="J32" s="347"/>
      <c r="K32" s="347"/>
      <c r="L32" s="347"/>
      <c r="M32" s="347"/>
      <c r="N32" s="347"/>
      <c r="O32" s="347"/>
      <c r="P32" s="347"/>
      <c r="Q32" s="347"/>
      <c r="R32" s="347"/>
      <c r="S32" s="347"/>
      <c r="T32" s="347"/>
      <c r="U32" s="347"/>
      <c r="V32" s="347"/>
      <c r="W32" s="375"/>
    </row>
    <row r="33" spans="1:23" ht="31.15" customHeight="1">
      <c r="A33" s="336">
        <v>3.3</v>
      </c>
      <c r="B33" s="369" t="s">
        <v>528</v>
      </c>
      <c r="C33" s="361">
        <v>23.38</v>
      </c>
      <c r="D33" s="361">
        <f t="shared" si="1"/>
        <v>23.38</v>
      </c>
      <c r="E33" s="361">
        <f t="shared" si="0"/>
        <v>0</v>
      </c>
      <c r="F33" s="361">
        <v>23.39</v>
      </c>
      <c r="G33" s="361">
        <f t="shared" si="2"/>
        <v>23.39</v>
      </c>
      <c r="H33" s="361">
        <f t="shared" si="3"/>
        <v>0</v>
      </c>
      <c r="I33" s="347"/>
      <c r="J33" s="347"/>
      <c r="K33" s="347"/>
      <c r="L33" s="347"/>
      <c r="M33" s="347"/>
      <c r="N33" s="347"/>
      <c r="O33" s="347"/>
      <c r="P33" s="347"/>
      <c r="Q33" s="347"/>
      <c r="R33" s="347"/>
      <c r="S33" s="347"/>
      <c r="T33" s="347"/>
      <c r="U33" s="347"/>
      <c r="V33" s="347"/>
      <c r="W33" s="375"/>
    </row>
    <row r="34" spans="1:23" ht="26.45" customHeight="1">
      <c r="A34" s="336">
        <v>3.4</v>
      </c>
      <c r="B34" s="369" t="s">
        <v>531</v>
      </c>
      <c r="C34" s="361">
        <v>11.75</v>
      </c>
      <c r="D34" s="361">
        <f t="shared" si="1"/>
        <v>11.75</v>
      </c>
      <c r="E34" s="361">
        <f t="shared" si="0"/>
        <v>0</v>
      </c>
      <c r="F34" s="361">
        <v>12.34</v>
      </c>
      <c r="G34" s="361">
        <f t="shared" si="2"/>
        <v>12.34</v>
      </c>
      <c r="H34" s="361">
        <f t="shared" si="3"/>
        <v>0</v>
      </c>
      <c r="I34" s="347"/>
      <c r="J34" s="347"/>
      <c r="K34" s="347"/>
      <c r="L34" s="347"/>
      <c r="M34" s="347"/>
      <c r="N34" s="347"/>
      <c r="O34" s="347"/>
      <c r="P34" s="347"/>
      <c r="Q34" s="347"/>
      <c r="R34" s="347"/>
      <c r="S34" s="347"/>
      <c r="T34" s="347"/>
      <c r="U34" s="347"/>
      <c r="V34" s="347"/>
      <c r="W34" s="375"/>
    </row>
    <row r="35" spans="1:23" ht="36" customHeight="1">
      <c r="A35" s="336">
        <v>3.5</v>
      </c>
      <c r="B35" s="369" t="s">
        <v>533</v>
      </c>
      <c r="C35" s="361">
        <v>45.72</v>
      </c>
      <c r="D35" s="361">
        <f t="shared" si="1"/>
        <v>45.72</v>
      </c>
      <c r="E35" s="361">
        <f t="shared" si="0"/>
        <v>0</v>
      </c>
      <c r="F35" s="361">
        <v>44.63</v>
      </c>
      <c r="G35" s="361">
        <f t="shared" si="2"/>
        <v>44.63</v>
      </c>
      <c r="H35" s="361">
        <f t="shared" si="3"/>
        <v>0</v>
      </c>
      <c r="I35" s="347"/>
      <c r="J35" s="347"/>
      <c r="K35" s="347"/>
      <c r="L35" s="347"/>
      <c r="M35" s="347"/>
      <c r="N35" s="347"/>
      <c r="O35" s="347"/>
      <c r="P35" s="347"/>
      <c r="Q35" s="347"/>
      <c r="R35" s="347"/>
      <c r="S35" s="347"/>
      <c r="T35" s="347"/>
      <c r="U35" s="347"/>
      <c r="V35" s="347"/>
      <c r="W35" s="375"/>
    </row>
    <row r="36" spans="1:23" ht="31.9" customHeight="1">
      <c r="A36" s="336">
        <v>3.6</v>
      </c>
      <c r="B36" s="369" t="s">
        <v>535</v>
      </c>
      <c r="C36" s="361">
        <v>17.190000000000001</v>
      </c>
      <c r="D36" s="361">
        <f t="shared" si="1"/>
        <v>17.190000000000001</v>
      </c>
      <c r="E36" s="361">
        <f t="shared" si="0"/>
        <v>0</v>
      </c>
      <c r="F36" s="361">
        <v>17.190000000000001</v>
      </c>
      <c r="G36" s="361">
        <f t="shared" si="2"/>
        <v>17.190000000000001</v>
      </c>
      <c r="H36" s="361">
        <f t="shared" si="3"/>
        <v>0</v>
      </c>
      <c r="I36" s="347"/>
      <c r="J36" s="347"/>
      <c r="K36" s="347"/>
      <c r="L36" s="347"/>
      <c r="M36" s="347"/>
      <c r="N36" s="347"/>
      <c r="O36" s="347"/>
      <c r="P36" s="347"/>
      <c r="Q36" s="347"/>
      <c r="R36" s="347"/>
      <c r="S36" s="347"/>
      <c r="T36" s="347"/>
      <c r="U36" s="347"/>
      <c r="V36" s="347"/>
      <c r="W36" s="375"/>
    </row>
    <row r="37" spans="1:23" ht="27" customHeight="1">
      <c r="A37" s="336">
        <v>3.7</v>
      </c>
      <c r="B37" s="369" t="s">
        <v>537</v>
      </c>
      <c r="C37" s="361">
        <v>46.07</v>
      </c>
      <c r="D37" s="361">
        <f t="shared" si="1"/>
        <v>46.07</v>
      </c>
      <c r="E37" s="361">
        <f t="shared" si="0"/>
        <v>0</v>
      </c>
      <c r="F37" s="361">
        <v>51.48</v>
      </c>
      <c r="G37" s="361">
        <f t="shared" si="2"/>
        <v>51.48</v>
      </c>
      <c r="H37" s="361">
        <f t="shared" si="3"/>
        <v>0</v>
      </c>
      <c r="I37" s="347"/>
      <c r="J37" s="347"/>
      <c r="K37" s="347"/>
      <c r="L37" s="347"/>
      <c r="M37" s="347"/>
      <c r="N37" s="347"/>
      <c r="O37" s="347"/>
      <c r="P37" s="347"/>
      <c r="Q37" s="347"/>
      <c r="R37" s="347"/>
      <c r="S37" s="347"/>
      <c r="T37" s="347"/>
      <c r="U37" s="347"/>
      <c r="V37" s="347"/>
      <c r="W37" s="375"/>
    </row>
    <row r="38" spans="1:23">
      <c r="A38" s="336">
        <v>3.8</v>
      </c>
      <c r="B38" s="369" t="s">
        <v>539</v>
      </c>
      <c r="C38" s="361">
        <v>83.96</v>
      </c>
      <c r="D38" s="361">
        <f t="shared" si="1"/>
        <v>83.96</v>
      </c>
      <c r="E38" s="361">
        <f t="shared" si="0"/>
        <v>0</v>
      </c>
      <c r="F38" s="361">
        <v>84.18</v>
      </c>
      <c r="G38" s="361">
        <f t="shared" si="2"/>
        <v>84.18</v>
      </c>
      <c r="H38" s="361">
        <f t="shared" si="3"/>
        <v>0</v>
      </c>
      <c r="I38" s="347"/>
      <c r="J38" s="347"/>
      <c r="K38" s="347"/>
      <c r="L38" s="347"/>
      <c r="M38" s="347"/>
      <c r="N38" s="347"/>
      <c r="O38" s="347"/>
      <c r="P38" s="347"/>
      <c r="Q38" s="347"/>
      <c r="R38" s="347"/>
      <c r="S38" s="347"/>
      <c r="T38" s="347"/>
      <c r="U38" s="347"/>
      <c r="V38" s="347"/>
      <c r="W38" s="375"/>
    </row>
    <row r="39" spans="1:23">
      <c r="A39" s="336">
        <v>3.9</v>
      </c>
      <c r="B39" s="369" t="s">
        <v>540</v>
      </c>
      <c r="C39" s="361">
        <v>250.38</v>
      </c>
      <c r="D39" s="361">
        <f t="shared" si="1"/>
        <v>250.38</v>
      </c>
      <c r="E39" s="361">
        <f t="shared" si="0"/>
        <v>0</v>
      </c>
      <c r="F39" s="361">
        <v>274.52999999999997</v>
      </c>
      <c r="G39" s="361">
        <f t="shared" si="2"/>
        <v>274.52999999999997</v>
      </c>
      <c r="H39" s="361">
        <f t="shared" si="3"/>
        <v>0</v>
      </c>
      <c r="I39" s="347"/>
      <c r="J39" s="347"/>
      <c r="K39" s="347"/>
      <c r="L39" s="347"/>
      <c r="M39" s="347"/>
      <c r="N39" s="347"/>
      <c r="O39" s="347"/>
      <c r="P39" s="347"/>
      <c r="Q39" s="347"/>
      <c r="R39" s="347"/>
      <c r="S39" s="347"/>
      <c r="T39" s="347"/>
      <c r="U39" s="347"/>
      <c r="V39" s="347"/>
      <c r="W39" s="375"/>
    </row>
    <row r="40" spans="1:23" ht="24">
      <c r="A40" s="450" t="s">
        <v>829</v>
      </c>
      <c r="B40" s="369" t="s">
        <v>541</v>
      </c>
      <c r="C40" s="361">
        <v>0.6</v>
      </c>
      <c r="D40" s="361">
        <f t="shared" si="1"/>
        <v>0.6</v>
      </c>
      <c r="E40" s="361">
        <f t="shared" si="0"/>
        <v>0</v>
      </c>
      <c r="F40" s="361">
        <v>1.45</v>
      </c>
      <c r="G40" s="361">
        <f t="shared" si="2"/>
        <v>1.45</v>
      </c>
      <c r="H40" s="361">
        <f t="shared" si="3"/>
        <v>0</v>
      </c>
      <c r="I40" s="347"/>
      <c r="J40" s="347"/>
      <c r="K40" s="347"/>
      <c r="L40" s="347"/>
      <c r="M40" s="347"/>
      <c r="N40" s="347"/>
      <c r="O40" s="347"/>
      <c r="P40" s="347"/>
      <c r="Q40" s="347"/>
      <c r="R40" s="347"/>
      <c r="S40" s="347"/>
      <c r="T40" s="347"/>
      <c r="U40" s="347"/>
      <c r="V40" s="347"/>
      <c r="W40" s="375"/>
    </row>
    <row r="41" spans="1:23">
      <c r="A41" s="336">
        <v>3.11</v>
      </c>
      <c r="B41" s="369" t="s">
        <v>542</v>
      </c>
      <c r="C41" s="361">
        <v>153.1</v>
      </c>
      <c r="D41" s="361">
        <f t="shared" si="1"/>
        <v>153.1</v>
      </c>
      <c r="E41" s="361">
        <f t="shared" si="0"/>
        <v>0</v>
      </c>
      <c r="F41" s="361">
        <v>270.87</v>
      </c>
      <c r="G41" s="361">
        <f t="shared" si="2"/>
        <v>270.87</v>
      </c>
      <c r="H41" s="361">
        <f t="shared" si="3"/>
        <v>0</v>
      </c>
      <c r="I41" s="347"/>
      <c r="J41" s="347"/>
      <c r="K41" s="347"/>
      <c r="L41" s="347"/>
      <c r="M41" s="347"/>
      <c r="N41" s="347"/>
      <c r="O41" s="347"/>
      <c r="P41" s="347"/>
      <c r="Q41" s="347"/>
      <c r="R41" s="347"/>
      <c r="S41" s="347"/>
      <c r="T41" s="347"/>
      <c r="U41" s="347"/>
      <c r="V41" s="347"/>
      <c r="W41" s="375"/>
    </row>
    <row r="42" spans="1:23" ht="36">
      <c r="A42" s="336">
        <v>3.12</v>
      </c>
      <c r="B42" s="369" t="s">
        <v>744</v>
      </c>
      <c r="C42" s="361">
        <v>63.5</v>
      </c>
      <c r="D42" s="361">
        <f t="shared" si="1"/>
        <v>63.5</v>
      </c>
      <c r="E42" s="361">
        <f t="shared" si="0"/>
        <v>0</v>
      </c>
      <c r="F42" s="361">
        <v>90.3</v>
      </c>
      <c r="G42" s="361">
        <f t="shared" si="2"/>
        <v>90.3</v>
      </c>
      <c r="H42" s="361">
        <f t="shared" si="3"/>
        <v>0</v>
      </c>
      <c r="I42" s="347"/>
      <c r="J42" s="347"/>
      <c r="K42" s="347"/>
      <c r="L42" s="347"/>
      <c r="M42" s="347"/>
      <c r="N42" s="347"/>
      <c r="O42" s="347"/>
      <c r="P42" s="347"/>
      <c r="Q42" s="347"/>
      <c r="R42" s="347"/>
      <c r="S42" s="347"/>
      <c r="T42" s="347"/>
      <c r="U42" s="347"/>
      <c r="V42" s="347"/>
      <c r="W42" s="375"/>
    </row>
    <row r="43" spans="1:23">
      <c r="A43" s="336">
        <v>3.13</v>
      </c>
      <c r="B43" s="369" t="s">
        <v>543</v>
      </c>
      <c r="C43" s="361">
        <v>0.78</v>
      </c>
      <c r="D43" s="361">
        <f t="shared" si="1"/>
        <v>0.78</v>
      </c>
      <c r="E43" s="361">
        <f t="shared" si="0"/>
        <v>0</v>
      </c>
      <c r="F43" s="361">
        <v>0.87</v>
      </c>
      <c r="G43" s="361">
        <f t="shared" si="2"/>
        <v>0.87</v>
      </c>
      <c r="H43" s="361">
        <f t="shared" si="3"/>
        <v>0</v>
      </c>
      <c r="I43" s="347"/>
      <c r="J43" s="347"/>
      <c r="K43" s="347"/>
      <c r="L43" s="347"/>
      <c r="M43" s="347"/>
      <c r="N43" s="347"/>
      <c r="O43" s="347"/>
      <c r="P43" s="347"/>
      <c r="Q43" s="347"/>
      <c r="R43" s="347"/>
      <c r="S43" s="347"/>
      <c r="T43" s="347"/>
      <c r="U43" s="347"/>
      <c r="V43" s="347"/>
      <c r="W43" s="375"/>
    </row>
    <row r="44" spans="1:23">
      <c r="A44" s="336">
        <v>3.14</v>
      </c>
      <c r="B44" s="369" t="s">
        <v>544</v>
      </c>
      <c r="C44" s="361">
        <v>10.050000000000001</v>
      </c>
      <c r="D44" s="361">
        <f t="shared" si="1"/>
        <v>10.050000000000001</v>
      </c>
      <c r="E44" s="361">
        <f t="shared" si="0"/>
        <v>0</v>
      </c>
      <c r="F44" s="361">
        <v>10.73</v>
      </c>
      <c r="G44" s="361">
        <f t="shared" si="2"/>
        <v>10.73</v>
      </c>
      <c r="H44" s="361">
        <f t="shared" si="3"/>
        <v>0</v>
      </c>
      <c r="I44" s="347"/>
      <c r="J44" s="347"/>
      <c r="K44" s="347"/>
      <c r="L44" s="347"/>
      <c r="M44" s="347"/>
      <c r="N44" s="347"/>
      <c r="O44" s="347"/>
      <c r="P44" s="347"/>
      <c r="Q44" s="347"/>
      <c r="R44" s="347"/>
      <c r="S44" s="347"/>
      <c r="T44" s="347"/>
      <c r="U44" s="347"/>
      <c r="V44" s="347"/>
      <c r="W44" s="375"/>
    </row>
    <row r="45" spans="1:23" ht="24">
      <c r="A45" s="336">
        <v>3.15</v>
      </c>
      <c r="B45" s="369" t="s">
        <v>545</v>
      </c>
      <c r="C45" s="361">
        <v>0.45</v>
      </c>
      <c r="D45" s="361">
        <v>0.42</v>
      </c>
      <c r="E45" s="361">
        <v>0.03</v>
      </c>
      <c r="F45" s="361">
        <v>0.45</v>
      </c>
      <c r="G45" s="361">
        <v>0.45</v>
      </c>
      <c r="H45" s="361">
        <f t="shared" si="3"/>
        <v>0</v>
      </c>
      <c r="I45" s="347"/>
      <c r="J45" s="347"/>
      <c r="K45" s="347"/>
      <c r="L45" s="347"/>
      <c r="M45" s="347"/>
      <c r="N45" s="347"/>
      <c r="O45" s="347"/>
      <c r="P45" s="347"/>
      <c r="Q45" s="347"/>
      <c r="R45" s="347"/>
      <c r="S45" s="347"/>
      <c r="T45" s="347"/>
      <c r="U45" s="347"/>
      <c r="V45" s="347"/>
      <c r="W45" s="375"/>
    </row>
    <row r="46" spans="1:23" ht="24">
      <c r="A46" s="336">
        <v>3.16</v>
      </c>
      <c r="B46" s="369" t="s">
        <v>546</v>
      </c>
      <c r="C46" s="361">
        <v>48.02</v>
      </c>
      <c r="D46" s="361">
        <f>C46</f>
        <v>48.02</v>
      </c>
      <c r="E46" s="361">
        <f t="shared" si="0"/>
        <v>0</v>
      </c>
      <c r="F46" s="361">
        <v>48.02</v>
      </c>
      <c r="G46" s="361">
        <f>F46</f>
        <v>48.02</v>
      </c>
      <c r="H46" s="361">
        <f t="shared" si="3"/>
        <v>0</v>
      </c>
      <c r="I46" s="347"/>
      <c r="J46" s="347"/>
      <c r="K46" s="347"/>
      <c r="L46" s="347"/>
      <c r="M46" s="347"/>
      <c r="N46" s="347"/>
      <c r="O46" s="347"/>
      <c r="P46" s="347"/>
      <c r="Q46" s="347"/>
      <c r="R46" s="347"/>
      <c r="S46" s="347"/>
      <c r="T46" s="347"/>
      <c r="U46" s="347"/>
      <c r="V46" s="347"/>
      <c r="W46" s="375"/>
    </row>
    <row r="47" spans="1:23">
      <c r="A47" s="336">
        <v>3.17</v>
      </c>
      <c r="B47" s="369" t="s">
        <v>547</v>
      </c>
      <c r="C47" s="484">
        <v>24.4</v>
      </c>
      <c r="D47" s="361">
        <f>C47</f>
        <v>24.4</v>
      </c>
      <c r="E47" s="361">
        <f t="shared" si="0"/>
        <v>0</v>
      </c>
      <c r="F47" s="361">
        <v>24.4</v>
      </c>
      <c r="G47" s="361">
        <f>F47</f>
        <v>24.4</v>
      </c>
      <c r="H47" s="361">
        <f t="shared" si="3"/>
        <v>0</v>
      </c>
      <c r="I47" s="347"/>
      <c r="J47" s="347"/>
      <c r="K47" s="347"/>
      <c r="L47" s="347"/>
      <c r="M47" s="347"/>
      <c r="N47" s="347"/>
      <c r="O47" s="347"/>
      <c r="P47" s="347"/>
      <c r="Q47" s="347"/>
      <c r="R47" s="347"/>
      <c r="S47" s="347"/>
      <c r="T47" s="347"/>
      <c r="U47" s="347"/>
      <c r="V47" s="347"/>
      <c r="W47" s="375"/>
    </row>
    <row r="48" spans="1:23" ht="24">
      <c r="A48" s="336">
        <v>3.18</v>
      </c>
      <c r="B48" s="369" t="s">
        <v>548</v>
      </c>
      <c r="C48" s="361">
        <v>2.1800000000000002</v>
      </c>
      <c r="D48" s="361">
        <f>C48</f>
        <v>2.1800000000000002</v>
      </c>
      <c r="E48" s="361">
        <f t="shared" si="0"/>
        <v>0</v>
      </c>
      <c r="F48" s="361">
        <v>2.72</v>
      </c>
      <c r="G48" s="361">
        <f>F48</f>
        <v>2.72</v>
      </c>
      <c r="H48" s="361">
        <f t="shared" si="3"/>
        <v>0</v>
      </c>
      <c r="I48" s="347"/>
      <c r="J48" s="347"/>
      <c r="K48" s="347"/>
      <c r="L48" s="347"/>
      <c r="M48" s="347"/>
      <c r="N48" s="347"/>
      <c r="O48" s="347"/>
      <c r="P48" s="347"/>
      <c r="Q48" s="347"/>
      <c r="R48" s="347"/>
      <c r="S48" s="347"/>
      <c r="T48" s="347"/>
      <c r="U48" s="347"/>
      <c r="V48" s="347"/>
      <c r="W48" s="375"/>
    </row>
    <row r="49" spans="1:23">
      <c r="A49" s="336">
        <v>3.19</v>
      </c>
      <c r="B49" s="369" t="s">
        <v>549</v>
      </c>
      <c r="C49" s="361">
        <v>3.99</v>
      </c>
      <c r="D49" s="361">
        <f>C49</f>
        <v>3.99</v>
      </c>
      <c r="E49" s="361">
        <f t="shared" si="0"/>
        <v>0</v>
      </c>
      <c r="F49" s="361">
        <v>4.5</v>
      </c>
      <c r="G49" s="361">
        <f>F49</f>
        <v>4.5</v>
      </c>
      <c r="H49" s="361">
        <f t="shared" si="3"/>
        <v>0</v>
      </c>
      <c r="I49" s="347"/>
      <c r="J49" s="347"/>
      <c r="K49" s="347"/>
      <c r="L49" s="347"/>
      <c r="M49" s="347"/>
      <c r="N49" s="347"/>
      <c r="O49" s="347"/>
      <c r="P49" s="347"/>
      <c r="Q49" s="347"/>
      <c r="R49" s="347"/>
      <c r="S49" s="347"/>
      <c r="T49" s="347"/>
      <c r="U49" s="347"/>
      <c r="V49" s="347"/>
      <c r="W49" s="375"/>
    </row>
    <row r="50" spans="1:23">
      <c r="A50" s="343">
        <v>3.2</v>
      </c>
      <c r="B50" s="369" t="s">
        <v>550</v>
      </c>
      <c r="C50" s="361">
        <v>0</v>
      </c>
      <c r="D50" s="361">
        <v>0</v>
      </c>
      <c r="E50" s="361">
        <f t="shared" si="0"/>
        <v>0</v>
      </c>
      <c r="F50" s="361">
        <v>0</v>
      </c>
      <c r="G50" s="361">
        <f>F50</f>
        <v>0</v>
      </c>
      <c r="H50" s="361">
        <f t="shared" si="3"/>
        <v>0</v>
      </c>
      <c r="I50" s="347"/>
      <c r="J50" s="347"/>
      <c r="K50" s="347"/>
      <c r="L50" s="347"/>
      <c r="M50" s="347"/>
      <c r="N50" s="347"/>
      <c r="O50" s="347"/>
      <c r="P50" s="347"/>
      <c r="Q50" s="347"/>
      <c r="R50" s="347"/>
      <c r="S50" s="347"/>
      <c r="T50" s="347"/>
      <c r="U50" s="347"/>
      <c r="V50" s="347"/>
      <c r="W50" s="375"/>
    </row>
    <row r="51" spans="1:23">
      <c r="A51" s="368">
        <v>3.21</v>
      </c>
      <c r="B51" s="362" t="s">
        <v>745</v>
      </c>
      <c r="C51" s="361">
        <v>0</v>
      </c>
      <c r="D51" s="361">
        <v>0</v>
      </c>
      <c r="E51" s="361">
        <v>0</v>
      </c>
      <c r="F51" s="361">
        <v>28.7</v>
      </c>
      <c r="G51" s="361">
        <v>28.7</v>
      </c>
      <c r="H51" s="361">
        <f t="shared" si="3"/>
        <v>0</v>
      </c>
      <c r="I51" s="347"/>
      <c r="J51" s="347"/>
      <c r="K51" s="347"/>
      <c r="L51" s="347"/>
      <c r="M51" s="347"/>
      <c r="N51" s="347"/>
      <c r="O51" s="347"/>
      <c r="P51" s="347"/>
      <c r="Q51" s="347"/>
      <c r="R51" s="347"/>
      <c r="S51" s="347"/>
      <c r="T51" s="347"/>
      <c r="U51" s="347"/>
      <c r="V51" s="347"/>
      <c r="W51" s="375"/>
    </row>
    <row r="52" spans="1:23" ht="36">
      <c r="A52" s="211">
        <v>3.22</v>
      </c>
      <c r="B52" s="205" t="s">
        <v>551</v>
      </c>
      <c r="C52" s="442">
        <f t="shared" ref="C52:H52" si="4">SUM(C31:C51)</f>
        <v>825.25</v>
      </c>
      <c r="D52" s="442">
        <f t="shared" si="4"/>
        <v>825.21999999999991</v>
      </c>
      <c r="E52" s="442">
        <f t="shared" si="4"/>
        <v>0.03</v>
      </c>
      <c r="F52" s="442">
        <f t="shared" si="4"/>
        <v>1030.6400000000001</v>
      </c>
      <c r="G52" s="441">
        <f t="shared" si="4"/>
        <v>1030.6400000000001</v>
      </c>
      <c r="H52" s="441">
        <f t="shared" si="4"/>
        <v>0</v>
      </c>
      <c r="I52" s="347"/>
      <c r="J52" s="347"/>
      <c r="K52" s="347"/>
      <c r="L52" s="347"/>
      <c r="M52" s="347"/>
      <c r="N52" s="347"/>
      <c r="O52" s="347"/>
      <c r="P52" s="347"/>
      <c r="Q52" s="347"/>
      <c r="R52" s="347"/>
      <c r="S52" s="347"/>
      <c r="T52" s="347"/>
      <c r="U52" s="347"/>
      <c r="V52" s="347"/>
      <c r="W52" s="375"/>
    </row>
    <row r="53" spans="1:23">
      <c r="A53" s="211">
        <v>4</v>
      </c>
      <c r="B53" s="222" t="s">
        <v>552</v>
      </c>
      <c r="C53" s="359"/>
      <c r="D53" s="359"/>
      <c r="E53" s="359"/>
      <c r="F53" s="359"/>
      <c r="G53" s="359"/>
      <c r="H53" s="359"/>
      <c r="I53" s="347"/>
      <c r="J53" s="347"/>
      <c r="K53" s="347"/>
      <c r="L53" s="347"/>
      <c r="M53" s="347"/>
      <c r="N53" s="347"/>
      <c r="O53" s="347"/>
      <c r="P53" s="347"/>
      <c r="Q53" s="347"/>
      <c r="R53" s="347"/>
      <c r="S53" s="347"/>
      <c r="T53" s="347"/>
      <c r="U53" s="347"/>
      <c r="V53" s="347"/>
      <c r="W53" s="375"/>
    </row>
    <row r="54" spans="1:23" ht="19.899999999999999" customHeight="1">
      <c r="A54" s="336">
        <v>4.0999999999999996</v>
      </c>
      <c r="B54" s="369" t="s">
        <v>553</v>
      </c>
      <c r="C54" s="364">
        <v>13.79</v>
      </c>
      <c r="D54" s="364">
        <f>C54</f>
        <v>13.79</v>
      </c>
      <c r="E54" s="364">
        <f t="shared" ref="E54:E63" si="5">C54-D54</f>
        <v>0</v>
      </c>
      <c r="F54" s="364">
        <v>16.2</v>
      </c>
      <c r="G54" s="364">
        <f>F54</f>
        <v>16.2</v>
      </c>
      <c r="H54" s="364">
        <f t="shared" ref="H54:H63" si="6">G54-F54</f>
        <v>0</v>
      </c>
      <c r="I54" s="347"/>
      <c r="J54" s="347"/>
      <c r="K54" s="347"/>
      <c r="L54" s="347"/>
      <c r="M54" s="347"/>
      <c r="N54" s="347"/>
      <c r="O54" s="347"/>
      <c r="P54" s="347"/>
      <c r="Q54" s="347"/>
      <c r="R54" s="347"/>
      <c r="S54" s="347"/>
      <c r="T54" s="347"/>
      <c r="U54" s="347"/>
      <c r="V54" s="347"/>
      <c r="W54" s="375"/>
    </row>
    <row r="55" spans="1:23" ht="22.9" customHeight="1">
      <c r="A55" s="336">
        <v>4.2</v>
      </c>
      <c r="B55" s="369" t="s">
        <v>555</v>
      </c>
      <c r="C55" s="364">
        <v>89.89</v>
      </c>
      <c r="D55" s="364">
        <f t="shared" ref="D55:D63" si="7">C55</f>
        <v>89.89</v>
      </c>
      <c r="E55" s="364">
        <f t="shared" si="5"/>
        <v>0</v>
      </c>
      <c r="F55" s="364">
        <v>88.73</v>
      </c>
      <c r="G55" s="364">
        <f t="shared" ref="G55:G63" si="8">F55</f>
        <v>88.73</v>
      </c>
      <c r="H55" s="364">
        <f t="shared" si="6"/>
        <v>0</v>
      </c>
      <c r="I55" s="347"/>
      <c r="J55" s="347"/>
      <c r="K55" s="347"/>
      <c r="L55" s="347"/>
      <c r="M55" s="347"/>
      <c r="N55" s="347"/>
      <c r="O55" s="347"/>
      <c r="P55" s="347"/>
      <c r="Q55" s="347"/>
      <c r="R55" s="347"/>
      <c r="S55" s="347"/>
      <c r="T55" s="347"/>
      <c r="U55" s="347"/>
      <c r="V55" s="347"/>
      <c r="W55" s="375"/>
    </row>
    <row r="56" spans="1:23" ht="22.15" customHeight="1">
      <c r="A56" s="336">
        <v>4.3</v>
      </c>
      <c r="B56" s="369" t="s">
        <v>557</v>
      </c>
      <c r="C56" s="364">
        <v>114.93</v>
      </c>
      <c r="D56" s="364">
        <f t="shared" si="7"/>
        <v>114.93</v>
      </c>
      <c r="E56" s="364">
        <f t="shared" si="5"/>
        <v>0</v>
      </c>
      <c r="F56" s="364">
        <v>119.44</v>
      </c>
      <c r="G56" s="364">
        <f t="shared" si="8"/>
        <v>119.44</v>
      </c>
      <c r="H56" s="364">
        <f t="shared" si="6"/>
        <v>0</v>
      </c>
      <c r="I56" s="347"/>
      <c r="J56" s="347"/>
      <c r="K56" s="347"/>
      <c r="L56" s="347"/>
      <c r="M56" s="347"/>
      <c r="N56" s="347"/>
      <c r="O56" s="347"/>
      <c r="P56" s="347"/>
      <c r="Q56" s="347"/>
      <c r="R56" s="347"/>
      <c r="S56" s="347"/>
      <c r="T56" s="347"/>
      <c r="U56" s="347"/>
      <c r="V56" s="347"/>
      <c r="W56" s="375"/>
    </row>
    <row r="57" spans="1:23" ht="18" customHeight="1">
      <c r="A57" s="336">
        <v>4.4000000000000004</v>
      </c>
      <c r="B57" s="369" t="s">
        <v>559</v>
      </c>
      <c r="C57" s="364">
        <v>40.200000000000003</v>
      </c>
      <c r="D57" s="364">
        <f t="shared" si="7"/>
        <v>40.200000000000003</v>
      </c>
      <c r="E57" s="364">
        <f t="shared" si="5"/>
        <v>0</v>
      </c>
      <c r="F57" s="364">
        <v>40.200000000000003</v>
      </c>
      <c r="G57" s="364">
        <f t="shared" si="8"/>
        <v>40.200000000000003</v>
      </c>
      <c r="H57" s="364">
        <f t="shared" si="6"/>
        <v>0</v>
      </c>
      <c r="I57" s="347"/>
      <c r="J57" s="347"/>
      <c r="K57" s="347"/>
      <c r="L57" s="347"/>
      <c r="M57" s="347"/>
      <c r="N57" s="347"/>
      <c r="O57" s="347"/>
      <c r="P57" s="347"/>
      <c r="Q57" s="347"/>
      <c r="R57" s="347"/>
      <c r="S57" s="347"/>
      <c r="T57" s="347"/>
      <c r="U57" s="347"/>
      <c r="V57" s="347"/>
      <c r="W57" s="375"/>
    </row>
    <row r="58" spans="1:23">
      <c r="A58" s="336">
        <v>4.5</v>
      </c>
      <c r="B58" s="369" t="s">
        <v>560</v>
      </c>
      <c r="C58" s="364">
        <v>0</v>
      </c>
      <c r="D58" s="364">
        <f t="shared" si="7"/>
        <v>0</v>
      </c>
      <c r="E58" s="364">
        <f t="shared" si="5"/>
        <v>0</v>
      </c>
      <c r="F58" s="364">
        <v>0</v>
      </c>
      <c r="G58" s="364">
        <f t="shared" si="8"/>
        <v>0</v>
      </c>
      <c r="H58" s="364">
        <f t="shared" si="6"/>
        <v>0</v>
      </c>
      <c r="I58" s="347"/>
      <c r="J58" s="347"/>
      <c r="K58" s="347"/>
      <c r="L58" s="347"/>
      <c r="M58" s="347"/>
      <c r="N58" s="347"/>
      <c r="O58" s="347"/>
      <c r="P58" s="347"/>
      <c r="Q58" s="347"/>
      <c r="R58" s="347"/>
      <c r="S58" s="347"/>
      <c r="T58" s="347"/>
      <c r="U58" s="347"/>
      <c r="V58" s="347"/>
      <c r="W58" s="375"/>
    </row>
    <row r="59" spans="1:23" ht="24">
      <c r="A59" s="336">
        <v>4.5999999999999996</v>
      </c>
      <c r="B59" s="369" t="s">
        <v>561</v>
      </c>
      <c r="C59" s="364">
        <v>2.96</v>
      </c>
      <c r="D59" s="364">
        <f t="shared" si="7"/>
        <v>2.96</v>
      </c>
      <c r="E59" s="364">
        <f t="shared" si="5"/>
        <v>0</v>
      </c>
      <c r="F59" s="364">
        <v>2.96</v>
      </c>
      <c r="G59" s="364">
        <f t="shared" si="8"/>
        <v>2.96</v>
      </c>
      <c r="H59" s="364">
        <f t="shared" si="6"/>
        <v>0</v>
      </c>
      <c r="I59" s="347"/>
      <c r="J59" s="347"/>
      <c r="K59" s="347"/>
      <c r="L59" s="347"/>
      <c r="M59" s="347"/>
      <c r="N59" s="347"/>
      <c r="O59" s="347"/>
      <c r="P59" s="347"/>
      <c r="Q59" s="347"/>
      <c r="R59" s="347"/>
      <c r="S59" s="347"/>
      <c r="T59" s="347"/>
      <c r="U59" s="347"/>
      <c r="V59" s="347"/>
      <c r="W59" s="375"/>
    </row>
    <row r="60" spans="1:23">
      <c r="A60" s="336">
        <v>4.7</v>
      </c>
      <c r="B60" s="369" t="s">
        <v>562</v>
      </c>
      <c r="C60" s="364">
        <v>0</v>
      </c>
      <c r="D60" s="364">
        <f t="shared" si="7"/>
        <v>0</v>
      </c>
      <c r="E60" s="364">
        <f t="shared" si="5"/>
        <v>0</v>
      </c>
      <c r="F60" s="364">
        <v>0</v>
      </c>
      <c r="G60" s="364">
        <f t="shared" si="8"/>
        <v>0</v>
      </c>
      <c r="H60" s="364">
        <f t="shared" si="6"/>
        <v>0</v>
      </c>
      <c r="I60" s="347"/>
      <c r="J60" s="347"/>
      <c r="K60" s="347"/>
      <c r="L60" s="347"/>
      <c r="M60" s="347"/>
      <c r="N60" s="347"/>
      <c r="O60" s="347"/>
      <c r="P60" s="347"/>
      <c r="Q60" s="347"/>
      <c r="R60" s="347"/>
      <c r="S60" s="347"/>
      <c r="T60" s="347"/>
      <c r="U60" s="347"/>
      <c r="V60" s="347"/>
      <c r="W60" s="375"/>
    </row>
    <row r="61" spans="1:23">
      <c r="A61" s="336">
        <v>4.8</v>
      </c>
      <c r="B61" s="369" t="s">
        <v>563</v>
      </c>
      <c r="C61" s="364">
        <v>0.5</v>
      </c>
      <c r="D61" s="364">
        <f t="shared" si="7"/>
        <v>0.5</v>
      </c>
      <c r="E61" s="364">
        <f t="shared" si="5"/>
        <v>0</v>
      </c>
      <c r="F61" s="364">
        <v>0.5</v>
      </c>
      <c r="G61" s="364">
        <f t="shared" si="8"/>
        <v>0.5</v>
      </c>
      <c r="H61" s="364">
        <f t="shared" si="6"/>
        <v>0</v>
      </c>
      <c r="I61" s="347"/>
      <c r="J61" s="347"/>
      <c r="K61" s="347"/>
      <c r="L61" s="347"/>
      <c r="M61" s="347"/>
      <c r="N61" s="347"/>
      <c r="O61" s="347"/>
      <c r="P61" s="347"/>
      <c r="Q61" s="347"/>
      <c r="R61" s="347"/>
      <c r="S61" s="347"/>
      <c r="T61" s="347"/>
      <c r="U61" s="347"/>
      <c r="V61" s="347"/>
      <c r="W61" s="375"/>
    </row>
    <row r="62" spans="1:23" ht="19.5" customHeight="1">
      <c r="A62" s="336">
        <v>4.9000000000000004</v>
      </c>
      <c r="B62" s="369" t="s">
        <v>564</v>
      </c>
      <c r="C62" s="364">
        <v>1280.98</v>
      </c>
      <c r="D62" s="364">
        <f t="shared" si="7"/>
        <v>1280.98</v>
      </c>
      <c r="E62" s="364">
        <f t="shared" si="5"/>
        <v>0</v>
      </c>
      <c r="F62" s="364">
        <v>1302.53</v>
      </c>
      <c r="G62" s="364">
        <f t="shared" si="8"/>
        <v>1302.53</v>
      </c>
      <c r="H62" s="364">
        <f t="shared" si="6"/>
        <v>0</v>
      </c>
      <c r="I62" s="347"/>
      <c r="J62" s="347"/>
      <c r="K62" s="347"/>
      <c r="L62" s="347"/>
      <c r="M62" s="347"/>
      <c r="N62" s="347"/>
      <c r="O62" s="347"/>
      <c r="P62" s="347"/>
      <c r="Q62" s="347"/>
      <c r="R62" s="347"/>
      <c r="S62" s="347"/>
      <c r="T62" s="347"/>
      <c r="U62" s="347"/>
      <c r="V62" s="347"/>
      <c r="W62" s="375"/>
    </row>
    <row r="63" spans="1:23" ht="19.5" customHeight="1">
      <c r="A63" s="351">
        <v>4.0999999999999996</v>
      </c>
      <c r="B63" s="348" t="s">
        <v>746</v>
      </c>
      <c r="C63" s="364">
        <v>16.899999999999999</v>
      </c>
      <c r="D63" s="364">
        <f t="shared" si="7"/>
        <v>16.899999999999999</v>
      </c>
      <c r="E63" s="364">
        <f t="shared" si="5"/>
        <v>0</v>
      </c>
      <c r="F63" s="364">
        <v>17</v>
      </c>
      <c r="G63" s="364">
        <f t="shared" si="8"/>
        <v>17</v>
      </c>
      <c r="H63" s="364">
        <f t="shared" si="6"/>
        <v>0</v>
      </c>
      <c r="I63" s="347"/>
      <c r="J63" s="347"/>
      <c r="K63" s="347"/>
      <c r="L63" s="347"/>
      <c r="M63" s="347"/>
      <c r="N63" s="347"/>
      <c r="O63" s="347"/>
      <c r="P63" s="347"/>
      <c r="Q63" s="347"/>
      <c r="R63" s="347"/>
      <c r="S63" s="347"/>
      <c r="T63" s="347"/>
      <c r="U63" s="347"/>
      <c r="V63" s="347"/>
      <c r="W63" s="375"/>
    </row>
    <row r="64" spans="1:23">
      <c r="A64" s="491" t="s">
        <v>856</v>
      </c>
      <c r="B64" s="345" t="s">
        <v>565</v>
      </c>
      <c r="C64" s="442">
        <f t="shared" ref="C64:H64" si="9">SUM(C54:C63)</f>
        <v>1560.15</v>
      </c>
      <c r="D64" s="442">
        <f t="shared" si="9"/>
        <v>1560.15</v>
      </c>
      <c r="E64" s="442">
        <f t="shared" si="9"/>
        <v>0</v>
      </c>
      <c r="F64" s="442">
        <f t="shared" si="9"/>
        <v>1587.56</v>
      </c>
      <c r="G64" s="441">
        <f t="shared" si="9"/>
        <v>1587.56</v>
      </c>
      <c r="H64" s="441">
        <f t="shared" si="9"/>
        <v>0</v>
      </c>
      <c r="I64" s="347"/>
      <c r="J64" s="347"/>
      <c r="K64" s="347"/>
      <c r="L64" s="347"/>
      <c r="M64" s="347"/>
      <c r="N64" s="347"/>
      <c r="O64" s="347"/>
      <c r="P64" s="347"/>
      <c r="Q64" s="347"/>
      <c r="R64" s="347"/>
      <c r="S64" s="347"/>
      <c r="T64" s="347"/>
      <c r="U64" s="347"/>
      <c r="V64" s="347"/>
      <c r="W64" s="375"/>
    </row>
    <row r="65" spans="1:23" ht="24.75" thickBot="1">
      <c r="A65" s="466">
        <v>5</v>
      </c>
      <c r="B65" s="467" t="s">
        <v>566</v>
      </c>
      <c r="C65" s="470">
        <f t="shared" ref="C65:H65" si="10">C21+C29+C52+C64</f>
        <v>8034.6400000000012</v>
      </c>
      <c r="D65" s="470">
        <f t="shared" si="10"/>
        <v>7613.92</v>
      </c>
      <c r="E65" s="470">
        <f t="shared" si="10"/>
        <v>420.72000000000025</v>
      </c>
      <c r="F65" s="470">
        <f t="shared" si="10"/>
        <v>8367.76</v>
      </c>
      <c r="G65" s="588">
        <f t="shared" si="10"/>
        <v>8157.34</v>
      </c>
      <c r="H65" s="588">
        <f t="shared" si="10"/>
        <v>210.42000000000007</v>
      </c>
      <c r="I65" s="379"/>
      <c r="J65" s="379"/>
      <c r="K65" s="379"/>
      <c r="L65" s="379"/>
      <c r="M65" s="379"/>
      <c r="N65" s="379"/>
      <c r="O65" s="379"/>
      <c r="P65" s="379"/>
      <c r="Q65" s="379"/>
      <c r="R65" s="379"/>
      <c r="S65" s="379"/>
      <c r="T65" s="379"/>
      <c r="U65" s="379"/>
      <c r="V65" s="379"/>
      <c r="W65" s="380"/>
    </row>
    <row r="66" spans="1:23">
      <c r="A66" s="213"/>
      <c r="B66" s="207"/>
      <c r="C66" s="1513"/>
      <c r="D66" s="1513"/>
      <c r="E66" s="1513"/>
      <c r="F66" s="1513"/>
      <c r="G66" s="1513"/>
      <c r="H66" s="1513"/>
      <c r="W66" s="198"/>
    </row>
    <row r="67" spans="1:23">
      <c r="A67" s="478"/>
      <c r="B67" s="193"/>
      <c r="C67" s="1513"/>
      <c r="D67" s="1513"/>
      <c r="E67" s="1513"/>
      <c r="F67" s="1513"/>
      <c r="G67" s="1513"/>
      <c r="H67" s="1513"/>
      <c r="W67" s="198"/>
    </row>
    <row r="68" spans="1:23">
      <c r="A68" s="478"/>
      <c r="B68" s="1564"/>
      <c r="C68" s="1564"/>
      <c r="D68" s="1564"/>
      <c r="E68" s="1564"/>
      <c r="F68" s="1564"/>
      <c r="G68" s="1564"/>
      <c r="H68" s="1564"/>
      <c r="W68" s="198"/>
    </row>
    <row r="69" spans="1:23">
      <c r="A69" s="478"/>
      <c r="C69" s="215"/>
      <c r="D69" s="215"/>
      <c r="E69" s="215"/>
      <c r="H69" s="215"/>
      <c r="W69" s="198"/>
    </row>
    <row r="70" spans="1:23">
      <c r="A70" s="196"/>
      <c r="U70" s="1697" t="s">
        <v>822</v>
      </c>
      <c r="V70" s="1697"/>
      <c r="W70" s="198"/>
    </row>
    <row r="71" spans="1:23">
      <c r="A71" s="196"/>
      <c r="C71" s="215"/>
      <c r="D71" s="215"/>
      <c r="E71" s="215"/>
      <c r="F71" s="215"/>
      <c r="G71" s="215"/>
      <c r="H71" s="215"/>
      <c r="W71" s="198"/>
    </row>
    <row r="72" spans="1:23" ht="15.75" thickBot="1">
      <c r="A72" s="199"/>
      <c r="B72" s="191"/>
      <c r="C72" s="191"/>
      <c r="D72" s="191"/>
      <c r="E72" s="191"/>
      <c r="F72" s="191"/>
      <c r="G72" s="191"/>
      <c r="H72" s="191"/>
      <c r="I72" s="191"/>
      <c r="J72" s="191"/>
      <c r="K72" s="191"/>
      <c r="L72" s="191"/>
      <c r="M72" s="191"/>
      <c r="N72" s="191"/>
      <c r="O72" s="191"/>
      <c r="P72" s="191"/>
      <c r="Q72" s="191"/>
      <c r="R72" s="191"/>
      <c r="S72" s="191"/>
      <c r="T72" s="191"/>
      <c r="U72" s="191"/>
      <c r="V72" s="191"/>
      <c r="W72" s="214"/>
    </row>
    <row r="78" spans="1:23" ht="14.45" customHeight="1">
      <c r="J78" s="347">
        <f>C64+1.54</f>
        <v>1561.69</v>
      </c>
    </row>
    <row r="82" ht="14.45" customHeight="1"/>
    <row r="91" ht="14.45" customHeight="1"/>
  </sheetData>
  <mergeCells count="34">
    <mergeCell ref="A5:W5"/>
    <mergeCell ref="W10:W11"/>
    <mergeCell ref="A7:B7"/>
    <mergeCell ref="C7:H7"/>
    <mergeCell ref="A8:B8"/>
    <mergeCell ref="C8:H8"/>
    <mergeCell ref="A10:A11"/>
    <mergeCell ref="B10:B11"/>
    <mergeCell ref="J10:J11"/>
    <mergeCell ref="K10:K11"/>
    <mergeCell ref="L10:L11"/>
    <mergeCell ref="M10:M11"/>
    <mergeCell ref="B68:H68"/>
    <mergeCell ref="D10:D11"/>
    <mergeCell ref="E10:E11"/>
    <mergeCell ref="G10:G11"/>
    <mergeCell ref="H10:H11"/>
    <mergeCell ref="F10:F11"/>
    <mergeCell ref="U70:V70"/>
    <mergeCell ref="N10:N11"/>
    <mergeCell ref="O10:O11"/>
    <mergeCell ref="P10:P11"/>
    <mergeCell ref="Q10:Q11"/>
    <mergeCell ref="R10:R11"/>
    <mergeCell ref="S10:S11"/>
    <mergeCell ref="T10:T11"/>
    <mergeCell ref="U10:U11"/>
    <mergeCell ref="V10:V11"/>
    <mergeCell ref="B22:W22"/>
    <mergeCell ref="B30:W30"/>
    <mergeCell ref="C66:H66"/>
    <mergeCell ref="C10:C11"/>
    <mergeCell ref="I10:I11"/>
    <mergeCell ref="C67:H67"/>
  </mergeCells>
  <pageMargins left="0.7" right="0.7" top="0.75" bottom="0.75" header="0.3" footer="0.3"/>
  <pageSetup paperSize="9" scale="78" fitToHeight="2" orientation="portrait" horizontalDpi="4294967293" r:id="rId1"/>
</worksheet>
</file>

<file path=xl/worksheets/sheet41.xml><?xml version="1.0" encoding="utf-8"?>
<worksheet xmlns="http://schemas.openxmlformats.org/spreadsheetml/2006/main" xmlns:r="http://schemas.openxmlformats.org/officeDocument/2006/relationships">
  <sheetPr>
    <pageSetUpPr fitToPage="1"/>
  </sheetPr>
  <dimension ref="A1:N47"/>
  <sheetViews>
    <sheetView showGridLines="0" zoomScaleSheetLayoutView="104" workbookViewId="0">
      <selection sqref="A1:XFD1"/>
    </sheetView>
  </sheetViews>
  <sheetFormatPr defaultColWidth="20" defaultRowHeight="15.75"/>
  <cols>
    <col min="1" max="2" width="20" style="167"/>
    <col min="3" max="3" width="38.6640625" style="167" customWidth="1"/>
    <col min="4" max="16384" width="20" style="167"/>
  </cols>
  <sheetData>
    <row r="1" spans="2:13" ht="16.5" thickBot="1"/>
    <row r="2" spans="2:13">
      <c r="B2" s="625"/>
      <c r="C2" s="195"/>
      <c r="D2" s="195"/>
      <c r="E2" s="195"/>
      <c r="F2" s="195"/>
      <c r="G2" s="195"/>
      <c r="H2" s="712"/>
      <c r="I2" s="712"/>
      <c r="J2" s="712"/>
      <c r="K2" s="712"/>
      <c r="L2" s="713"/>
    </row>
    <row r="3" spans="2:13" ht="18.75">
      <c r="B3" s="565"/>
      <c r="C3" s="190"/>
      <c r="D3" s="190"/>
      <c r="E3" s="190"/>
      <c r="L3" s="698" t="s">
        <v>967</v>
      </c>
      <c r="M3" s="565"/>
    </row>
    <row r="4" spans="2:13">
      <c r="B4" s="565"/>
      <c r="C4" s="190"/>
      <c r="D4" s="190"/>
      <c r="E4" s="190"/>
      <c r="F4" s="190"/>
      <c r="G4" s="190"/>
      <c r="L4" s="566"/>
    </row>
    <row r="5" spans="2:13" ht="17.45" customHeight="1">
      <c r="B5" s="565"/>
      <c r="C5" s="1566" t="s">
        <v>966</v>
      </c>
      <c r="D5" s="1566"/>
      <c r="E5" s="1566"/>
      <c r="F5" s="1566"/>
      <c r="G5" s="1566"/>
      <c r="H5" s="1566"/>
      <c r="I5" s="1566"/>
      <c r="J5" s="1566"/>
      <c r="K5" s="1566"/>
      <c r="L5" s="1567"/>
    </row>
    <row r="6" spans="2:13">
      <c r="B6" s="565"/>
      <c r="C6" s="626"/>
      <c r="D6" s="200"/>
      <c r="E6" s="200"/>
      <c r="F6" s="200"/>
      <c r="G6" s="200"/>
      <c r="L6" s="566"/>
    </row>
    <row r="7" spans="2:13">
      <c r="B7" s="565"/>
      <c r="C7" s="1576" t="s">
        <v>498</v>
      </c>
      <c r="D7" s="1576"/>
      <c r="E7" s="1570" t="str">
        <f>'App III -liability '!C7</f>
        <v>The Singareni Collieries Company Limited</v>
      </c>
      <c r="F7" s="1570"/>
      <c r="G7" s="1570"/>
      <c r="L7" s="566"/>
    </row>
    <row r="8" spans="2:13" ht="15.6" customHeight="1">
      <c r="B8" s="565"/>
      <c r="C8" s="1576" t="s">
        <v>499</v>
      </c>
      <c r="D8" s="1576"/>
      <c r="E8" s="1570" t="str">
        <f>'App III -liability '!C8</f>
        <v>Singareni Thermal power Project</v>
      </c>
      <c r="F8" s="1570"/>
      <c r="G8" s="1570"/>
      <c r="L8" s="566"/>
    </row>
    <row r="9" spans="2:13" ht="15.6" customHeight="1">
      <c r="B9" s="565"/>
      <c r="C9" s="440"/>
      <c r="D9" s="440"/>
      <c r="E9" s="645"/>
      <c r="F9" s="645"/>
      <c r="G9" s="645"/>
      <c r="L9" s="566"/>
    </row>
    <row r="10" spans="2:13" ht="15.6" customHeight="1">
      <c r="B10" s="565"/>
      <c r="C10" s="1929" t="s">
        <v>1009</v>
      </c>
      <c r="D10" s="1930"/>
      <c r="E10" s="1930"/>
      <c r="F10" s="1930"/>
      <c r="G10" s="1930"/>
      <c r="H10" s="1930"/>
      <c r="I10" s="1930"/>
      <c r="J10" s="1930"/>
      <c r="K10" s="1930"/>
      <c r="L10" s="1931"/>
    </row>
    <row r="11" spans="2:13" ht="35.450000000000003" customHeight="1">
      <c r="B11" s="565"/>
      <c r="C11" s="952" t="s">
        <v>768</v>
      </c>
      <c r="D11" s="304" t="s">
        <v>860</v>
      </c>
      <c r="E11" s="304" t="s">
        <v>444</v>
      </c>
      <c r="F11" s="304" t="s">
        <v>445</v>
      </c>
      <c r="G11" s="699" t="s">
        <v>446</v>
      </c>
      <c r="H11" s="706" t="s">
        <v>1016</v>
      </c>
      <c r="I11" s="707" t="s">
        <v>1017</v>
      </c>
      <c r="J11" s="706" t="s">
        <v>1018</v>
      </c>
      <c r="K11" s="706" t="s">
        <v>1019</v>
      </c>
      <c r="L11" s="708" t="s">
        <v>1020</v>
      </c>
    </row>
    <row r="12" spans="2:13">
      <c r="B12" s="565"/>
      <c r="C12" s="389" t="s">
        <v>773</v>
      </c>
      <c r="D12" s="390">
        <v>7149.52</v>
      </c>
      <c r="E12" s="494">
        <f>D16</f>
        <v>6705.71</v>
      </c>
      <c r="F12" s="390">
        <f>E16</f>
        <v>6830.56</v>
      </c>
      <c r="G12" s="700">
        <f>F16</f>
        <v>6830.56</v>
      </c>
      <c r="H12" s="709"/>
      <c r="I12" s="709"/>
      <c r="J12" s="709"/>
      <c r="K12" s="711"/>
      <c r="L12" s="716"/>
    </row>
    <row r="13" spans="2:13">
      <c r="B13" s="565"/>
      <c r="C13" s="389" t="s">
        <v>771</v>
      </c>
      <c r="D13" s="388">
        <v>0</v>
      </c>
      <c r="E13" s="390">
        <v>124.85</v>
      </c>
      <c r="F13" s="390">
        <v>0</v>
      </c>
      <c r="G13" s="701">
        <v>744.68999999999994</v>
      </c>
      <c r="H13" s="709"/>
      <c r="I13" s="709"/>
      <c r="J13" s="709"/>
      <c r="K13" s="711"/>
      <c r="L13" s="716"/>
    </row>
    <row r="14" spans="2:13">
      <c r="B14" s="565"/>
      <c r="C14" s="389" t="s">
        <v>762</v>
      </c>
      <c r="D14" s="388">
        <v>448.54</v>
      </c>
      <c r="E14" s="388">
        <v>0</v>
      </c>
      <c r="F14" s="388">
        <v>0</v>
      </c>
      <c r="G14" s="701">
        <v>0</v>
      </c>
      <c r="H14" s="709"/>
      <c r="I14" s="709"/>
      <c r="J14" s="709"/>
      <c r="K14" s="711"/>
      <c r="L14" s="716"/>
    </row>
    <row r="15" spans="2:13">
      <c r="B15" s="565"/>
      <c r="C15" s="389" t="s">
        <v>770</v>
      </c>
      <c r="D15" s="388">
        <v>4.7300000000000004</v>
      </c>
      <c r="E15" s="388">
        <v>0</v>
      </c>
      <c r="F15" s="388">
        <v>0</v>
      </c>
      <c r="G15" s="701">
        <v>0</v>
      </c>
      <c r="H15" s="709"/>
      <c r="I15" s="709"/>
      <c r="J15" s="709"/>
      <c r="K15" s="711"/>
      <c r="L15" s="716"/>
    </row>
    <row r="16" spans="2:13">
      <c r="B16" s="565"/>
      <c r="C16" s="389" t="s">
        <v>772</v>
      </c>
      <c r="D16" s="390">
        <f>D12+D13-D14+D15</f>
        <v>6705.71</v>
      </c>
      <c r="E16" s="390">
        <f>E12+E13-E14+E15</f>
        <v>6830.56</v>
      </c>
      <c r="F16" s="390">
        <f>F12+F13-F14+F15</f>
        <v>6830.56</v>
      </c>
      <c r="G16" s="390">
        <f>G12+G13-G14+G15</f>
        <v>7575.25</v>
      </c>
      <c r="H16" s="709"/>
      <c r="I16" s="709"/>
      <c r="J16" s="709"/>
      <c r="K16" s="711"/>
      <c r="L16" s="716"/>
    </row>
    <row r="17" spans="1:14">
      <c r="B17" s="565"/>
      <c r="C17" s="628"/>
      <c r="D17" s="492"/>
      <c r="E17" s="493"/>
      <c r="F17" s="492"/>
      <c r="G17" s="493"/>
      <c r="L17" s="716"/>
    </row>
    <row r="18" spans="1:14" ht="21.75" customHeight="1">
      <c r="B18" s="640" t="s">
        <v>1010</v>
      </c>
      <c r="C18" s="1929" t="s">
        <v>859</v>
      </c>
      <c r="D18" s="1930"/>
      <c r="E18" s="1930"/>
      <c r="F18" s="1930"/>
      <c r="G18" s="1930"/>
      <c r="H18" s="1930"/>
      <c r="I18" s="1930"/>
      <c r="J18" s="1930"/>
      <c r="K18" s="1930"/>
      <c r="L18" s="1931"/>
    </row>
    <row r="19" spans="1:14" ht="25.5">
      <c r="B19" s="640">
        <v>1</v>
      </c>
      <c r="C19" s="952" t="s">
        <v>768</v>
      </c>
      <c r="D19" s="304" t="s">
        <v>860</v>
      </c>
      <c r="E19" s="304" t="s">
        <v>444</v>
      </c>
      <c r="F19" s="304" t="s">
        <v>445</v>
      </c>
      <c r="G19" s="699" t="s">
        <v>446</v>
      </c>
      <c r="H19" s="706" t="s">
        <v>1016</v>
      </c>
      <c r="I19" s="707" t="s">
        <v>1017</v>
      </c>
      <c r="J19" s="706" t="s">
        <v>1018</v>
      </c>
      <c r="K19" s="706" t="s">
        <v>1019</v>
      </c>
      <c r="L19" s="708" t="s">
        <v>1020</v>
      </c>
    </row>
    <row r="20" spans="1:14">
      <c r="B20" s="640">
        <v>2</v>
      </c>
      <c r="C20" s="389" t="s">
        <v>773</v>
      </c>
      <c r="D20" s="390">
        <f>'Form 5B '!E65-'Form 5B '!E39-'Form 5B '!E41</f>
        <v>7558.6299999999992</v>
      </c>
      <c r="E20" s="494">
        <f>D24</f>
        <v>7114.8199999999988</v>
      </c>
      <c r="F20" s="390">
        <f>E24</f>
        <v>7210.44</v>
      </c>
      <c r="G20" s="700">
        <f>F24</f>
        <v>7611.94</v>
      </c>
      <c r="H20" s="709"/>
      <c r="I20" s="709"/>
      <c r="J20" s="709"/>
      <c r="K20" s="711"/>
      <c r="L20" s="716"/>
    </row>
    <row r="21" spans="1:14">
      <c r="B21" s="640">
        <v>3</v>
      </c>
      <c r="C21" s="389" t="s">
        <v>771</v>
      </c>
      <c r="D21" s="388">
        <v>0</v>
      </c>
      <c r="E21" s="390">
        <f>'Form 5B '!F65-'Form 5B '!F39-'Form 5B '!F41</f>
        <v>72.53000000000047</v>
      </c>
      <c r="F21" s="390">
        <f>'Form 5B '!H65-'Form 5B '!H39-'Form 5B '!H41</f>
        <v>191.1999999999999</v>
      </c>
      <c r="G21" s="701">
        <f>'Form 5B '!J65-'Form 5B '!J39-'Form 5B '!J41+'Form 5B '!C39+'Form 5B '!C41</f>
        <v>761.97999999999968</v>
      </c>
      <c r="H21" s="709"/>
      <c r="I21" s="709"/>
      <c r="J21" s="709"/>
      <c r="K21" s="711"/>
      <c r="L21" s="716"/>
    </row>
    <row r="22" spans="1:14">
      <c r="B22" s="640">
        <v>4</v>
      </c>
      <c r="C22" s="389" t="s">
        <v>762</v>
      </c>
      <c r="D22" s="388">
        <f>D14</f>
        <v>448.54</v>
      </c>
      <c r="E22" s="388">
        <f>D22-D23</f>
        <v>443.81</v>
      </c>
      <c r="F22" s="388">
        <f>E22-E23</f>
        <v>420.72000000000025</v>
      </c>
      <c r="G22" s="701">
        <f>F22-F23</f>
        <v>210.42000000000007</v>
      </c>
      <c r="H22" s="709"/>
      <c r="I22" s="709"/>
      <c r="J22" s="709"/>
      <c r="K22" s="711"/>
      <c r="L22" s="716"/>
    </row>
    <row r="23" spans="1:14">
      <c r="B23" s="640">
        <v>5</v>
      </c>
      <c r="C23" s="389" t="s">
        <v>770</v>
      </c>
      <c r="D23" s="388">
        <v>4.7300000000000004</v>
      </c>
      <c r="E23" s="388">
        <f>(D22-D23-'App III -liability '!E65)</f>
        <v>23.089999999999748</v>
      </c>
      <c r="F23" s="388">
        <f>D22-D23-E23-'App III -liability '!H65</f>
        <v>210.30000000000018</v>
      </c>
      <c r="G23" s="701">
        <f>D22-D23-E23-F23</f>
        <v>210.42000000000007</v>
      </c>
      <c r="H23" s="709"/>
      <c r="I23" s="709"/>
      <c r="J23" s="709"/>
      <c r="K23" s="711"/>
      <c r="L23" s="716"/>
    </row>
    <row r="24" spans="1:14" ht="16.5" thickBot="1">
      <c r="A24" s="167" t="s">
        <v>303</v>
      </c>
      <c r="B24" s="641">
        <v>6</v>
      </c>
      <c r="C24" s="389" t="s">
        <v>772</v>
      </c>
      <c r="D24" s="390">
        <f>D20+D21-D22+D23</f>
        <v>7114.8199999999988</v>
      </c>
      <c r="E24" s="390">
        <f>E20+E21+E23</f>
        <v>7210.44</v>
      </c>
      <c r="F24" s="390">
        <f>F20+F21+F23</f>
        <v>7611.94</v>
      </c>
      <c r="G24" s="390">
        <f>G20+G21+G23</f>
        <v>8584.34</v>
      </c>
      <c r="H24" s="709"/>
      <c r="I24" s="709"/>
      <c r="J24" s="709"/>
      <c r="K24" s="711"/>
      <c r="L24" s="716"/>
    </row>
    <row r="25" spans="1:14" ht="29.25" customHeight="1">
      <c r="B25" s="629"/>
      <c r="C25" s="1932" t="s">
        <v>861</v>
      </c>
      <c r="D25" s="1932"/>
      <c r="E25" s="1932"/>
      <c r="F25" s="1932"/>
      <c r="G25" s="1932"/>
      <c r="H25" s="1932"/>
      <c r="I25" s="1932"/>
      <c r="J25" s="1932"/>
      <c r="K25" s="1932"/>
      <c r="L25" s="1933"/>
      <c r="M25" s="714"/>
    </row>
    <row r="26" spans="1:14" ht="30.75" hidden="1" customHeight="1">
      <c r="B26" s="565"/>
      <c r="C26" s="714"/>
      <c r="D26" s="714"/>
      <c r="E26" s="714"/>
      <c r="F26" s="714"/>
      <c r="G26" s="714"/>
      <c r="H26" s="714"/>
      <c r="I26" s="714"/>
      <c r="J26" s="714"/>
      <c r="K26" s="714"/>
      <c r="L26" s="717"/>
      <c r="M26" s="715"/>
    </row>
    <row r="27" spans="1:14" ht="31.15" customHeight="1">
      <c r="B27" s="640" t="s">
        <v>1010</v>
      </c>
      <c r="C27" s="1936" t="s">
        <v>1011</v>
      </c>
      <c r="D27" s="1937"/>
      <c r="E27" s="1937"/>
      <c r="F27" s="1937"/>
      <c r="G27" s="1937"/>
      <c r="H27" s="1937"/>
      <c r="I27" s="1937"/>
      <c r="J27" s="1937"/>
      <c r="K27" s="1937"/>
      <c r="L27" s="1938"/>
    </row>
    <row r="28" spans="1:14">
      <c r="B28" s="640">
        <v>1</v>
      </c>
      <c r="C28" s="627" t="s">
        <v>864</v>
      </c>
      <c r="D28" s="442">
        <f>'Form 5B '!E65</f>
        <v>7884.6799999999994</v>
      </c>
      <c r="E28" s="495">
        <f>'Form 5B '!G65</f>
        <v>8034.6400000000012</v>
      </c>
      <c r="F28" s="495">
        <f>'Form 5B '!I65</f>
        <v>8367.76</v>
      </c>
      <c r="G28" s="702">
        <f>'Form 5B '!C65</f>
        <v>8584.33</v>
      </c>
      <c r="H28" s="709"/>
      <c r="I28" s="709"/>
      <c r="J28" s="709"/>
      <c r="K28" s="709"/>
      <c r="L28" s="716"/>
    </row>
    <row r="29" spans="1:14" ht="31.5">
      <c r="B29" s="640">
        <v>2</v>
      </c>
      <c r="C29" s="627" t="s">
        <v>865</v>
      </c>
      <c r="D29" s="501">
        <f>D28-D24</f>
        <v>769.86000000000058</v>
      </c>
      <c r="E29" s="501">
        <f>E28-E24</f>
        <v>824.20000000000164</v>
      </c>
      <c r="F29" s="501">
        <f>F28-F24</f>
        <v>755.82000000000062</v>
      </c>
      <c r="G29" s="703">
        <f>G28-G24</f>
        <v>-1.0000000000218279E-2</v>
      </c>
      <c r="H29" s="709"/>
      <c r="I29" s="709"/>
      <c r="J29" s="709"/>
      <c r="K29" s="709"/>
      <c r="L29" s="716"/>
    </row>
    <row r="30" spans="1:14">
      <c r="B30" s="640">
        <v>3</v>
      </c>
      <c r="C30" s="627" t="s">
        <v>862</v>
      </c>
      <c r="D30" s="502">
        <f>'Form 5B '!E39</f>
        <v>245.31</v>
      </c>
      <c r="E30" s="503">
        <f>'Form 5B '!G39</f>
        <v>250.38</v>
      </c>
      <c r="F30" s="503">
        <f>'Form 5B '!I39</f>
        <v>274.52999999999997</v>
      </c>
      <c r="G30" s="704">
        <v>0</v>
      </c>
      <c r="H30" s="709"/>
      <c r="I30" s="709"/>
      <c r="J30" s="709"/>
      <c r="K30" s="709"/>
      <c r="L30" s="716"/>
    </row>
    <row r="31" spans="1:14">
      <c r="B31" s="640">
        <v>4</v>
      </c>
      <c r="C31" s="627" t="s">
        <v>863</v>
      </c>
      <c r="D31" s="502">
        <f>'Form 5B '!E41</f>
        <v>80.739999999999995</v>
      </c>
      <c r="E31" s="503">
        <f>'Form 5B '!G41</f>
        <v>153.1</v>
      </c>
      <c r="F31" s="503">
        <f>'Form 5B '!I41</f>
        <v>270.87</v>
      </c>
      <c r="G31" s="704">
        <v>0</v>
      </c>
      <c r="H31" s="709"/>
      <c r="I31" s="709"/>
      <c r="J31" s="709"/>
      <c r="K31" s="709"/>
      <c r="L31" s="716"/>
    </row>
    <row r="32" spans="1:14">
      <c r="B32" s="640">
        <v>5</v>
      </c>
      <c r="C32" s="627" t="s">
        <v>762</v>
      </c>
      <c r="D32" s="502">
        <f>D22</f>
        <v>448.54</v>
      </c>
      <c r="E32" s="504">
        <f>D32-D33</f>
        <v>443.81</v>
      </c>
      <c r="F32" s="505">
        <f>E32-E33</f>
        <v>420.72000000000025</v>
      </c>
      <c r="G32" s="704">
        <f>F32-F33</f>
        <v>210.42000000000007</v>
      </c>
      <c r="H32" s="709"/>
      <c r="I32" s="709"/>
      <c r="J32" s="709"/>
      <c r="K32" s="709"/>
      <c r="L32" s="716"/>
      <c r="N32" s="710">
        <f>F32-F33</f>
        <v>210.42000000000007</v>
      </c>
    </row>
    <row r="33" spans="2:12">
      <c r="B33" s="640">
        <v>6</v>
      </c>
      <c r="C33" s="627" t="s">
        <v>770</v>
      </c>
      <c r="D33" s="504">
        <f>D23</f>
        <v>4.7300000000000004</v>
      </c>
      <c r="E33" s="503">
        <f>E23</f>
        <v>23.089999999999748</v>
      </c>
      <c r="F33" s="503">
        <f>F23</f>
        <v>210.30000000000018</v>
      </c>
      <c r="G33" s="704">
        <f>G23</f>
        <v>210.42000000000007</v>
      </c>
      <c r="H33" s="709"/>
      <c r="I33" s="709"/>
      <c r="J33" s="709"/>
      <c r="K33" s="709"/>
      <c r="L33" s="716"/>
    </row>
    <row r="34" spans="2:12">
      <c r="B34" s="642">
        <v>7</v>
      </c>
      <c r="C34" s="627" t="s">
        <v>1012</v>
      </c>
      <c r="D34" s="496">
        <f>D30+D31+D32-D33</f>
        <v>769.86</v>
      </c>
      <c r="E34" s="496">
        <f>E30+E31+E32-E33</f>
        <v>824.20000000000027</v>
      </c>
      <c r="F34" s="496">
        <f>F30+F31+F32-F33</f>
        <v>755.82</v>
      </c>
      <c r="G34" s="705">
        <f>G30+G31+G32-G33</f>
        <v>0</v>
      </c>
      <c r="H34" s="709"/>
      <c r="I34" s="709"/>
      <c r="J34" s="709"/>
      <c r="K34" s="709"/>
      <c r="L34" s="716"/>
    </row>
    <row r="35" spans="2:12">
      <c r="B35" s="565"/>
      <c r="C35" s="628"/>
      <c r="D35" s="564"/>
      <c r="E35" s="492"/>
      <c r="F35" s="492"/>
      <c r="G35" s="492"/>
      <c r="L35" s="566"/>
    </row>
    <row r="36" spans="2:12">
      <c r="B36" s="565"/>
      <c r="C36" s="628"/>
      <c r="D36" s="564"/>
      <c r="E36" s="492"/>
      <c r="F36" s="492"/>
      <c r="G36" s="492"/>
      <c r="L36" s="566"/>
    </row>
    <row r="37" spans="2:12" ht="15.6" customHeight="1">
      <c r="B37" s="565"/>
      <c r="C37" s="1934" t="s">
        <v>998</v>
      </c>
      <c r="D37" s="1935"/>
      <c r="E37" s="1935"/>
      <c r="F37" s="1935"/>
      <c r="G37" s="1935"/>
      <c r="L37" s="566"/>
    </row>
    <row r="38" spans="2:12">
      <c r="B38" s="565"/>
      <c r="C38" s="190"/>
      <c r="D38" s="190"/>
      <c r="E38" s="190"/>
      <c r="F38" s="190"/>
      <c r="G38" s="190"/>
      <c r="L38" s="566"/>
    </row>
    <row r="39" spans="2:12">
      <c r="B39" s="565"/>
      <c r="C39" s="190"/>
      <c r="D39" s="190"/>
      <c r="E39" s="190"/>
      <c r="F39" s="190"/>
      <c r="G39" s="190"/>
      <c r="L39" s="566"/>
    </row>
    <row r="40" spans="2:12" ht="60" customHeight="1">
      <c r="B40" s="565"/>
      <c r="C40" s="1585" t="s">
        <v>418</v>
      </c>
      <c r="D40" s="497" t="s">
        <v>868</v>
      </c>
      <c r="E40" s="497" t="s">
        <v>866</v>
      </c>
      <c r="F40" s="497" t="s">
        <v>867</v>
      </c>
      <c r="G40" s="403" t="s">
        <v>866</v>
      </c>
      <c r="L40" s="566"/>
    </row>
    <row r="41" spans="2:12">
      <c r="B41" s="565"/>
      <c r="C41" s="1586"/>
      <c r="D41" s="498">
        <f>'Form 5B '!E65-D14+D15</f>
        <v>7440.869999999999</v>
      </c>
      <c r="E41" s="498">
        <f>D24</f>
        <v>7114.8199999999988</v>
      </c>
      <c r="F41" s="499">
        <f>'Form 5B '!D65/2</f>
        <v>3885.8150000000001</v>
      </c>
      <c r="G41" s="498">
        <f>E41/D41*F41</f>
        <v>3715.5432467305568</v>
      </c>
      <c r="L41" s="566"/>
    </row>
    <row r="42" spans="2:12">
      <c r="B42" s="565"/>
      <c r="C42" s="628"/>
      <c r="D42" s="564"/>
      <c r="E42" s="492"/>
      <c r="F42" s="492"/>
      <c r="G42" s="492"/>
      <c r="L42" s="566"/>
    </row>
    <row r="43" spans="2:12">
      <c r="B43" s="565"/>
      <c r="L43" s="566"/>
    </row>
    <row r="44" spans="2:12">
      <c r="B44" s="565"/>
      <c r="L44" s="566"/>
    </row>
    <row r="45" spans="2:12" ht="18.75">
      <c r="B45" s="565"/>
      <c r="K45" s="570" t="s">
        <v>822</v>
      </c>
      <c r="L45" s="566"/>
    </row>
    <row r="46" spans="2:12">
      <c r="B46" s="565"/>
      <c r="L46" s="566"/>
    </row>
    <row r="47" spans="2:12" ht="16.5" thickBot="1">
      <c r="B47" s="567"/>
      <c r="C47" s="568"/>
      <c r="D47" s="568"/>
      <c r="E47" s="568"/>
      <c r="F47" s="568"/>
      <c r="G47" s="568"/>
      <c r="H47" s="568"/>
      <c r="I47" s="568"/>
      <c r="J47" s="568"/>
      <c r="K47" s="568"/>
      <c r="L47" s="569"/>
    </row>
  </sheetData>
  <mergeCells count="11">
    <mergeCell ref="C7:D7"/>
    <mergeCell ref="E7:G7"/>
    <mergeCell ref="C8:D8"/>
    <mergeCell ref="E8:G8"/>
    <mergeCell ref="C5:L5"/>
    <mergeCell ref="C10:L10"/>
    <mergeCell ref="C25:L25"/>
    <mergeCell ref="C40:C41"/>
    <mergeCell ref="C37:G37"/>
    <mergeCell ref="C18:L18"/>
    <mergeCell ref="C27:L27"/>
  </mergeCells>
  <printOptions horizontalCentered="1"/>
  <pageMargins left="0.70866141732283472" right="0.70866141732283472" top="0.74803149606299213" bottom="0.74803149606299213" header="0.31496062992125984" footer="0.31496062992125984"/>
  <pageSetup paperSize="9" scale="57" orientation="landscape" verticalDpi="300" r:id="rId1"/>
  <headerFooter alignWithMargins="0"/>
</worksheet>
</file>

<file path=xl/worksheets/sheet42.xml><?xml version="1.0" encoding="utf-8"?>
<worksheet xmlns="http://schemas.openxmlformats.org/spreadsheetml/2006/main" xmlns:r="http://schemas.openxmlformats.org/officeDocument/2006/relationships">
  <sheetPr>
    <tabColor theme="8" tint="0.39997558519241921"/>
    <pageSetUpPr fitToPage="1"/>
  </sheetPr>
  <dimension ref="A1:AP118"/>
  <sheetViews>
    <sheetView topLeftCell="A25" workbookViewId="0">
      <selection activeCell="J19" sqref="J19"/>
    </sheetView>
  </sheetViews>
  <sheetFormatPr defaultColWidth="9.33203125" defaultRowHeight="15"/>
  <cols>
    <col min="1" max="1" width="15.5" style="190" customWidth="1"/>
    <col min="2" max="2" width="22.5" style="190" customWidth="1"/>
    <col min="3" max="3" width="14" style="190" hidden="1" customWidth="1"/>
    <col min="4" max="4" width="20.33203125" style="190" hidden="1" customWidth="1"/>
    <col min="5" max="5" width="11.5" style="190" customWidth="1"/>
    <col min="6" max="6" width="13.5" style="190" customWidth="1"/>
    <col min="7" max="7" width="11.83203125" style="190" customWidth="1"/>
    <col min="8" max="8" width="12.5" style="190" customWidth="1"/>
    <col min="9" max="9" width="11.6640625" style="190" customWidth="1"/>
    <col min="10" max="16" width="13.5" style="190" customWidth="1"/>
    <col min="17" max="17" width="11.33203125" style="190" customWidth="1"/>
    <col min="18" max="18" width="13.6640625" style="190" customWidth="1"/>
    <col min="19" max="19" width="13" style="190" customWidth="1"/>
    <col min="20" max="20" width="11.33203125" style="190" customWidth="1"/>
    <col min="21" max="21" width="13.1640625" style="190" customWidth="1"/>
    <col min="22" max="22" width="13" style="190" customWidth="1"/>
    <col min="23" max="23" width="11.33203125" style="190" customWidth="1"/>
    <col min="24" max="24" width="13.1640625" style="190" customWidth="1"/>
    <col min="25" max="25" width="13" style="190" customWidth="1"/>
    <col min="26" max="26" width="10.6640625" style="190" bestFit="1" customWidth="1"/>
    <col min="27" max="27" width="14.33203125" style="190" customWidth="1"/>
    <col min="28" max="28" width="13" style="190" customWidth="1"/>
    <col min="29" max="29" width="11.33203125" style="190" customWidth="1"/>
    <col min="30" max="30" width="13.33203125" style="190" customWidth="1"/>
    <col min="31" max="31" width="13" style="190" customWidth="1"/>
    <col min="32" max="16384" width="9.33203125" style="190"/>
  </cols>
  <sheetData>
    <row r="1" spans="1:42" ht="15.75" thickBot="1">
      <c r="Q1" s="754"/>
      <c r="R1" s="754"/>
    </row>
    <row r="2" spans="1:42" hidden="1">
      <c r="A2" s="194"/>
      <c r="B2" s="195"/>
      <c r="C2" s="195"/>
      <c r="D2" s="195"/>
      <c r="E2" s="195"/>
      <c r="F2" s="195"/>
      <c r="G2" s="195"/>
      <c r="H2" s="195"/>
      <c r="I2" s="195"/>
      <c r="J2" s="195"/>
      <c r="K2" s="195"/>
      <c r="L2" s="195"/>
      <c r="M2" s="195"/>
      <c r="N2" s="195"/>
      <c r="O2" s="195"/>
      <c r="P2" s="195"/>
    </row>
    <row r="3" spans="1:42" ht="19.899999999999999" hidden="1" customHeight="1">
      <c r="A3" s="196"/>
      <c r="N3" s="1946" t="s">
        <v>761</v>
      </c>
      <c r="O3" s="1946"/>
      <c r="P3" s="1946"/>
    </row>
    <row r="4" spans="1:42" hidden="1">
      <c r="A4" s="196"/>
    </row>
    <row r="5" spans="1:42" ht="20.25" hidden="1">
      <c r="A5" s="1694" t="s">
        <v>569</v>
      </c>
      <c r="B5" s="1947"/>
      <c r="C5" s="1947"/>
      <c r="D5" s="1947"/>
      <c r="E5" s="1947"/>
      <c r="F5" s="1947"/>
      <c r="G5" s="1947"/>
      <c r="H5" s="1947"/>
      <c r="I5" s="1947"/>
      <c r="J5" s="1947"/>
      <c r="K5" s="1947"/>
      <c r="L5" s="1947"/>
      <c r="M5" s="1947"/>
      <c r="N5" s="1947"/>
      <c r="O5" s="1947"/>
      <c r="P5" s="1947"/>
    </row>
    <row r="6" spans="1:42" hidden="1">
      <c r="A6" s="208"/>
      <c r="B6" s="200"/>
      <c r="C6" s="200"/>
      <c r="D6" s="200"/>
      <c r="E6" s="200"/>
      <c r="F6" s="200"/>
      <c r="G6" s="200"/>
      <c r="H6" s="200"/>
      <c r="I6" s="200"/>
      <c r="J6" s="200"/>
      <c r="K6" s="200"/>
      <c r="L6" s="200"/>
      <c r="M6" s="200"/>
      <c r="N6" s="200"/>
      <c r="O6" s="200"/>
      <c r="P6" s="200"/>
    </row>
    <row r="7" spans="1:42" ht="25.5" hidden="1" customHeight="1">
      <c r="A7" s="1575" t="s">
        <v>498</v>
      </c>
      <c r="B7" s="1576"/>
      <c r="C7" s="1577" t="s">
        <v>464</v>
      </c>
      <c r="D7" s="1577"/>
      <c r="E7" s="1577"/>
      <c r="F7" s="1577"/>
      <c r="G7" s="1577"/>
      <c r="H7" s="1577"/>
      <c r="I7" s="1577"/>
      <c r="J7" s="1577"/>
      <c r="K7" s="1577"/>
      <c r="L7" s="1577"/>
      <c r="M7" s="1577"/>
      <c r="N7" s="1577"/>
      <c r="O7" s="1577"/>
      <c r="P7" s="1577"/>
    </row>
    <row r="8" spans="1:42" ht="29.25" hidden="1" customHeight="1">
      <c r="A8" s="1575" t="s">
        <v>499</v>
      </c>
      <c r="B8" s="1576"/>
      <c r="C8" s="1577" t="s">
        <v>461</v>
      </c>
      <c r="D8" s="1577"/>
      <c r="E8" s="1577"/>
      <c r="F8" s="1577"/>
      <c r="G8" s="1577"/>
      <c r="H8" s="1577"/>
      <c r="I8" s="1577"/>
      <c r="J8" s="1577"/>
      <c r="K8" s="1577"/>
      <c r="L8" s="1577"/>
      <c r="M8" s="1577"/>
      <c r="N8" s="1577"/>
      <c r="O8" s="1577"/>
      <c r="P8" s="1577"/>
    </row>
    <row r="9" spans="1:42" ht="19.5" hidden="1" customHeight="1">
      <c r="A9" s="210"/>
      <c r="B9" s="192"/>
      <c r="C9" s="335"/>
      <c r="D9" s="335"/>
      <c r="E9" s="335"/>
      <c r="F9" s="335"/>
      <c r="G9" s="335"/>
      <c r="H9" s="335"/>
      <c r="I9" s="335"/>
      <c r="J9" s="335"/>
      <c r="K9" s="335"/>
      <c r="L9" s="335"/>
      <c r="M9" s="335"/>
      <c r="N9" s="335"/>
      <c r="O9" s="335"/>
      <c r="P9" s="335"/>
    </row>
    <row r="10" spans="1:42" ht="21.6" customHeight="1">
      <c r="A10" s="1927" t="s">
        <v>417</v>
      </c>
      <c r="B10" s="1928" t="s">
        <v>500</v>
      </c>
      <c r="C10" s="1939" t="s">
        <v>501</v>
      </c>
      <c r="D10" s="1939"/>
      <c r="E10" s="1939"/>
      <c r="F10" s="1939"/>
      <c r="G10" s="1939"/>
      <c r="H10" s="1939"/>
      <c r="I10" s="1939"/>
      <c r="J10" s="1939"/>
      <c r="K10" s="1939"/>
      <c r="L10" s="1939"/>
      <c r="M10" s="1939"/>
      <c r="N10" s="1939"/>
      <c r="O10" s="1939"/>
      <c r="P10" s="1939"/>
      <c r="Q10" s="755"/>
      <c r="R10" s="195"/>
      <c r="S10" s="1942"/>
      <c r="T10" s="1942"/>
      <c r="U10" s="195"/>
      <c r="V10" s="195"/>
      <c r="W10" s="195"/>
      <c r="X10" s="195"/>
      <c r="Y10" s="195"/>
      <c r="Z10" s="195"/>
      <c r="AA10" s="195"/>
      <c r="AB10" s="195"/>
      <c r="AC10" s="195"/>
      <c r="AD10" s="195"/>
      <c r="AE10" s="372"/>
    </row>
    <row r="11" spans="1:42" ht="61.9" customHeight="1">
      <c r="A11" s="1571"/>
      <c r="B11" s="1580"/>
      <c r="C11" s="442" t="s">
        <v>760</v>
      </c>
      <c r="D11" s="442" t="s">
        <v>759</v>
      </c>
      <c r="E11" s="1943" t="s">
        <v>774</v>
      </c>
      <c r="F11" s="1943"/>
      <c r="G11" s="1943"/>
      <c r="H11" s="1943"/>
      <c r="I11" s="1943"/>
      <c r="J11" s="1943"/>
      <c r="K11" s="1943"/>
      <c r="L11" s="1943"/>
      <c r="M11" s="1943"/>
      <c r="N11" s="1943"/>
      <c r="O11" s="1943"/>
      <c r="P11" s="1943"/>
      <c r="AE11" s="198"/>
    </row>
    <row r="12" spans="1:42">
      <c r="A12" s="220">
        <v>-1</v>
      </c>
      <c r="B12" s="332">
        <v>-2</v>
      </c>
      <c r="C12" s="332">
        <v>-3</v>
      </c>
      <c r="D12" s="332">
        <v>-4</v>
      </c>
      <c r="E12" s="1940">
        <v>-5</v>
      </c>
      <c r="F12" s="1940"/>
      <c r="G12" s="1940"/>
      <c r="H12" s="332">
        <v>-6</v>
      </c>
      <c r="I12" s="332"/>
      <c r="J12" s="332"/>
      <c r="K12" s="332">
        <v>-7</v>
      </c>
      <c r="L12" s="332"/>
      <c r="M12" s="332"/>
      <c r="N12" s="332">
        <v>-8</v>
      </c>
      <c r="O12" s="332"/>
      <c r="P12" s="332"/>
      <c r="Q12" s="332">
        <v>-8</v>
      </c>
      <c r="R12" s="332"/>
      <c r="S12" s="332"/>
      <c r="T12" s="332">
        <v>-8</v>
      </c>
      <c r="U12" s="332"/>
      <c r="V12" s="477"/>
      <c r="W12" s="477">
        <v>-8</v>
      </c>
      <c r="X12" s="332"/>
      <c r="Y12" s="332"/>
      <c r="Z12" s="332">
        <v>-8</v>
      </c>
      <c r="AA12" s="332"/>
      <c r="AB12" s="332"/>
      <c r="AC12" s="332">
        <v>-8</v>
      </c>
      <c r="AD12" s="332"/>
      <c r="AE12" s="221"/>
    </row>
    <row r="13" spans="1:42" ht="36">
      <c r="A13" s="220"/>
      <c r="B13" s="332"/>
      <c r="C13" s="332"/>
      <c r="D13" s="332"/>
      <c r="E13" s="332" t="s">
        <v>775</v>
      </c>
      <c r="F13" s="332" t="s">
        <v>1014</v>
      </c>
      <c r="G13" s="332" t="s">
        <v>1015</v>
      </c>
      <c r="H13" s="332" t="s">
        <v>775</v>
      </c>
      <c r="I13" s="332" t="s">
        <v>1014</v>
      </c>
      <c r="J13" s="332" t="s">
        <v>1015</v>
      </c>
      <c r="K13" s="332" t="s">
        <v>775</v>
      </c>
      <c r="L13" s="332" t="s">
        <v>1014</v>
      </c>
      <c r="M13" s="332" t="s">
        <v>1015</v>
      </c>
      <c r="N13" s="332" t="s">
        <v>775</v>
      </c>
      <c r="O13" s="332" t="s">
        <v>1014</v>
      </c>
      <c r="P13" s="332" t="s">
        <v>1015</v>
      </c>
      <c r="Q13" s="332" t="s">
        <v>775</v>
      </c>
      <c r="R13" s="332" t="s">
        <v>1014</v>
      </c>
      <c r="S13" s="332" t="s">
        <v>1015</v>
      </c>
      <c r="T13" s="332" t="s">
        <v>775</v>
      </c>
      <c r="U13" s="332" t="s">
        <v>1014</v>
      </c>
      <c r="V13" s="477" t="s">
        <v>1015</v>
      </c>
      <c r="W13" s="768" t="s">
        <v>775</v>
      </c>
      <c r="X13" s="332" t="s">
        <v>1014</v>
      </c>
      <c r="Y13" s="332" t="s">
        <v>1015</v>
      </c>
      <c r="Z13" s="332" t="s">
        <v>775</v>
      </c>
      <c r="AA13" s="332" t="s">
        <v>1014</v>
      </c>
      <c r="AB13" s="332" t="s">
        <v>1015</v>
      </c>
      <c r="AC13" s="332" t="s">
        <v>775</v>
      </c>
      <c r="AD13" s="332" t="s">
        <v>1014</v>
      </c>
      <c r="AE13" s="221" t="s">
        <v>1015</v>
      </c>
    </row>
    <row r="14" spans="1:42">
      <c r="A14" s="211">
        <v>1</v>
      </c>
      <c r="B14" s="222" t="s">
        <v>505</v>
      </c>
      <c r="C14" s="222"/>
      <c r="D14" s="222"/>
      <c r="E14" s="1520" t="s">
        <v>753</v>
      </c>
      <c r="F14" s="1520"/>
      <c r="G14" s="1520"/>
      <c r="H14" s="1520" t="s">
        <v>754</v>
      </c>
      <c r="I14" s="1520"/>
      <c r="J14" s="1520"/>
      <c r="K14" s="1520" t="s">
        <v>615</v>
      </c>
      <c r="L14" s="1520"/>
      <c r="M14" s="1520"/>
      <c r="N14" s="1520" t="s">
        <v>616</v>
      </c>
      <c r="O14" s="1520"/>
      <c r="P14" s="1520"/>
      <c r="Q14" s="1520" t="s">
        <v>1026</v>
      </c>
      <c r="R14" s="1520"/>
      <c r="S14" s="1520"/>
      <c r="T14" s="1520" t="s">
        <v>1027</v>
      </c>
      <c r="U14" s="1520"/>
      <c r="V14" s="1944"/>
      <c r="W14" s="1520" t="s">
        <v>1028</v>
      </c>
      <c r="X14" s="1520"/>
      <c r="Y14" s="1520"/>
      <c r="Z14" s="1520" t="s">
        <v>1029</v>
      </c>
      <c r="AA14" s="1520"/>
      <c r="AB14" s="1520"/>
      <c r="AC14" s="1520" t="s">
        <v>1030</v>
      </c>
      <c r="AD14" s="1520"/>
      <c r="AE14" s="1521"/>
    </row>
    <row r="15" spans="1:42" ht="14.45" customHeight="1" thickBot="1">
      <c r="A15" s="336">
        <v>1.1000000000000001</v>
      </c>
      <c r="B15" s="369" t="s">
        <v>506</v>
      </c>
      <c r="C15" s="369">
        <v>2998</v>
      </c>
      <c r="D15" s="201"/>
      <c r="E15" s="201"/>
      <c r="F15" s="201"/>
      <c r="G15" s="201"/>
      <c r="H15" s="201"/>
      <c r="I15" s="201"/>
      <c r="J15" s="201"/>
      <c r="K15" s="201"/>
      <c r="L15" s="201"/>
      <c r="M15" s="201"/>
      <c r="N15" s="201"/>
      <c r="O15" s="201"/>
      <c r="P15" s="201"/>
      <c r="Q15" s="347"/>
      <c r="R15" s="347"/>
      <c r="S15" s="347"/>
      <c r="T15" s="347"/>
      <c r="U15" s="347"/>
      <c r="V15" s="753"/>
      <c r="W15" s="347"/>
      <c r="X15" s="347"/>
      <c r="Y15" s="347"/>
      <c r="Z15" s="347"/>
      <c r="AA15" s="347"/>
      <c r="AB15" s="347"/>
      <c r="AC15" s="347"/>
      <c r="AD15" s="347"/>
      <c r="AE15" s="375"/>
      <c r="AG15" s="1945" t="s">
        <v>767</v>
      </c>
      <c r="AH15" s="1945"/>
      <c r="AI15" s="1945"/>
      <c r="AJ15" s="1945"/>
      <c r="AK15" s="1945"/>
    </row>
    <row r="16" spans="1:42" ht="16.149999999999999" customHeight="1">
      <c r="A16" s="336">
        <v>1.2</v>
      </c>
      <c r="B16" s="369" t="s">
        <v>508</v>
      </c>
      <c r="C16" s="337">
        <v>388</v>
      </c>
      <c r="D16" s="337"/>
      <c r="E16" s="337"/>
      <c r="F16" s="337"/>
      <c r="G16" s="337"/>
      <c r="H16" s="337"/>
      <c r="I16" s="337"/>
      <c r="J16" s="337"/>
      <c r="K16" s="337"/>
      <c r="L16" s="337"/>
      <c r="M16" s="337"/>
      <c r="N16" s="337"/>
      <c r="O16" s="337"/>
      <c r="P16" s="337"/>
      <c r="Q16" s="347"/>
      <c r="R16" s="347"/>
      <c r="S16" s="347"/>
      <c r="T16" s="347"/>
      <c r="U16" s="347"/>
      <c r="V16" s="753"/>
      <c r="W16" s="347"/>
      <c r="X16" s="347"/>
      <c r="Y16" s="347"/>
      <c r="Z16" s="347"/>
      <c r="AA16" s="347"/>
      <c r="AB16" s="347"/>
      <c r="AC16" s="347"/>
      <c r="AD16" s="347"/>
      <c r="AE16" s="375"/>
      <c r="AG16" s="382" t="s">
        <v>768</v>
      </c>
      <c r="AH16" s="383" t="str">
        <f>E14</f>
        <v>UPTO COD of UNIT 2</v>
      </c>
      <c r="AI16" s="383" t="str">
        <f>H14</f>
        <v>COD 2 to 31.03.2017</v>
      </c>
      <c r="AJ16" s="383" t="str">
        <f>K14</f>
        <v>2017-18</v>
      </c>
      <c r="AK16" s="384" t="str">
        <f>N14</f>
        <v>2018-19</v>
      </c>
      <c r="AL16" s="383" t="s">
        <v>1026</v>
      </c>
      <c r="AM16" s="384" t="s">
        <v>1027</v>
      </c>
      <c r="AN16" s="384" t="s">
        <v>1028</v>
      </c>
      <c r="AO16" s="384" t="s">
        <v>1029</v>
      </c>
      <c r="AP16" s="384" t="s">
        <v>1030</v>
      </c>
    </row>
    <row r="17" spans="1:42" ht="45">
      <c r="A17" s="336">
        <v>1.3</v>
      </c>
      <c r="B17" s="369" t="s">
        <v>509</v>
      </c>
      <c r="C17" s="337">
        <v>76</v>
      </c>
      <c r="D17" s="337"/>
      <c r="E17" s="337"/>
      <c r="F17" s="337"/>
      <c r="G17" s="337"/>
      <c r="H17" s="337"/>
      <c r="I17" s="337"/>
      <c r="J17" s="337"/>
      <c r="K17" s="337"/>
      <c r="L17" s="337"/>
      <c r="M17" s="337"/>
      <c r="N17" s="337"/>
      <c r="O17" s="337"/>
      <c r="P17" s="337"/>
      <c r="Q17" s="347"/>
      <c r="R17" s="347"/>
      <c r="S17" s="347"/>
      <c r="T17" s="347"/>
      <c r="U17" s="347"/>
      <c r="V17" s="753"/>
      <c r="W17" s="347"/>
      <c r="X17" s="347"/>
      <c r="Y17" s="347"/>
      <c r="Z17" s="347"/>
      <c r="AA17" s="347"/>
      <c r="AB17" s="347"/>
      <c r="AC17" s="347"/>
      <c r="AD17" s="347"/>
      <c r="AE17" s="375"/>
      <c r="AG17" s="374" t="s">
        <v>765</v>
      </c>
      <c r="AH17" s="347"/>
      <c r="AI17" s="347"/>
      <c r="AJ17" s="347"/>
      <c r="AK17" s="347"/>
      <c r="AL17" s="347"/>
      <c r="AM17" s="347"/>
      <c r="AN17" s="347"/>
      <c r="AO17" s="347"/>
      <c r="AP17" s="375"/>
    </row>
    <row r="18" spans="1:42">
      <c r="A18" s="336">
        <v>1.4</v>
      </c>
      <c r="B18" s="369" t="s">
        <v>510</v>
      </c>
      <c r="C18" s="337">
        <v>610</v>
      </c>
      <c r="D18" s="337"/>
      <c r="E18" s="337"/>
      <c r="F18" s="337"/>
      <c r="G18" s="337"/>
      <c r="H18" s="337"/>
      <c r="I18" s="337"/>
      <c r="J18" s="337"/>
      <c r="K18" s="337"/>
      <c r="L18" s="337"/>
      <c r="M18" s="337"/>
      <c r="N18" s="337"/>
      <c r="O18" s="337"/>
      <c r="P18" s="337"/>
      <c r="Q18" s="347"/>
      <c r="R18" s="347"/>
      <c r="S18" s="347"/>
      <c r="T18" s="347"/>
      <c r="U18" s="347"/>
      <c r="V18" s="753"/>
      <c r="W18" s="347"/>
      <c r="X18" s="347"/>
      <c r="Y18" s="347"/>
      <c r="Z18" s="347"/>
      <c r="AA18" s="347"/>
      <c r="AB18" s="347"/>
      <c r="AC18" s="347"/>
      <c r="AD18" s="347"/>
      <c r="AE18" s="375"/>
      <c r="AG18" s="376" t="s">
        <v>707</v>
      </c>
      <c r="AH18" s="347">
        <v>414.56</v>
      </c>
      <c r="AI18" s="347">
        <f t="shared" ref="AI18:AJ20" si="0">AH18</f>
        <v>414.56</v>
      </c>
      <c r="AJ18" s="347">
        <f t="shared" si="0"/>
        <v>414.56</v>
      </c>
      <c r="AK18" s="347">
        <v>0</v>
      </c>
      <c r="AL18" s="347"/>
      <c r="AM18" s="347"/>
      <c r="AN18" s="347"/>
      <c r="AO18" s="347"/>
      <c r="AP18" s="375"/>
    </row>
    <row r="19" spans="1:42">
      <c r="A19" s="336">
        <v>1.5</v>
      </c>
      <c r="B19" s="369" t="s">
        <v>511</v>
      </c>
      <c r="C19" s="337">
        <v>4072</v>
      </c>
      <c r="D19" s="201"/>
      <c r="E19" s="201"/>
      <c r="F19" s="201"/>
      <c r="G19" s="201"/>
      <c r="H19" s="201"/>
      <c r="I19" s="201"/>
      <c r="J19" s="201"/>
      <c r="K19" s="201"/>
      <c r="L19" s="201"/>
      <c r="M19" s="201"/>
      <c r="N19" s="201"/>
      <c r="O19" s="201"/>
      <c r="P19" s="201"/>
      <c r="Q19" s="347"/>
      <c r="R19" s="347"/>
      <c r="S19" s="347"/>
      <c r="T19" s="347"/>
      <c r="U19" s="347"/>
      <c r="V19" s="753"/>
      <c r="W19" s="347"/>
      <c r="X19" s="347"/>
      <c r="Y19" s="347"/>
      <c r="Z19" s="347"/>
      <c r="AA19" s="347"/>
      <c r="AB19" s="347"/>
      <c r="AC19" s="347"/>
      <c r="AD19" s="347"/>
      <c r="AE19" s="375"/>
      <c r="AG19" s="376" t="s">
        <v>709</v>
      </c>
      <c r="AH19" s="347">
        <v>29.25</v>
      </c>
      <c r="AI19" s="347">
        <f t="shared" si="0"/>
        <v>29.25</v>
      </c>
      <c r="AJ19" s="347">
        <f t="shared" si="0"/>
        <v>29.25</v>
      </c>
      <c r="AK19" s="347">
        <v>0</v>
      </c>
      <c r="AL19" s="347"/>
      <c r="AM19" s="347"/>
      <c r="AN19" s="347"/>
      <c r="AO19" s="347"/>
      <c r="AP19" s="375"/>
    </row>
    <row r="20" spans="1:42" ht="12.6" customHeight="1">
      <c r="A20" s="336">
        <v>1.6</v>
      </c>
      <c r="B20" s="369" t="s">
        <v>512</v>
      </c>
      <c r="C20" s="337">
        <v>706</v>
      </c>
      <c r="D20" s="337"/>
      <c r="E20" s="337"/>
      <c r="F20" s="337"/>
      <c r="G20" s="337"/>
      <c r="H20" s="337"/>
      <c r="I20" s="337"/>
      <c r="J20" s="337"/>
      <c r="K20" s="337"/>
      <c r="L20" s="337"/>
      <c r="M20" s="337"/>
      <c r="N20" s="337"/>
      <c r="O20" s="337"/>
      <c r="P20" s="337"/>
      <c r="Q20" s="347"/>
      <c r="R20" s="347"/>
      <c r="S20" s="347"/>
      <c r="T20" s="347"/>
      <c r="U20" s="347"/>
      <c r="V20" s="753"/>
      <c r="W20" s="347"/>
      <c r="X20" s="347"/>
      <c r="Y20" s="347"/>
      <c r="Z20" s="347"/>
      <c r="AA20" s="347"/>
      <c r="AB20" s="347"/>
      <c r="AC20" s="347"/>
      <c r="AD20" s="347"/>
      <c r="AE20" s="375"/>
      <c r="AG20" s="376" t="s">
        <v>764</v>
      </c>
      <c r="AH20" s="347">
        <v>4.7300000000000004</v>
      </c>
      <c r="AI20" s="347">
        <f t="shared" si="0"/>
        <v>4.7300000000000004</v>
      </c>
      <c r="AJ20" s="347">
        <f t="shared" si="0"/>
        <v>4.7300000000000004</v>
      </c>
      <c r="AK20" s="347">
        <v>0</v>
      </c>
      <c r="AL20" s="347"/>
      <c r="AM20" s="347"/>
      <c r="AN20" s="347"/>
      <c r="AO20" s="347"/>
      <c r="AP20" s="375"/>
    </row>
    <row r="21" spans="1:42" ht="75">
      <c r="A21" s="336">
        <v>1.7</v>
      </c>
      <c r="B21" s="369" t="s">
        <v>513</v>
      </c>
      <c r="C21" s="337">
        <v>100</v>
      </c>
      <c r="D21" s="337"/>
      <c r="E21" s="337"/>
      <c r="F21" s="337"/>
      <c r="G21" s="337"/>
      <c r="H21" s="337"/>
      <c r="I21" s="337"/>
      <c r="J21" s="337"/>
      <c r="K21" s="337"/>
      <c r="L21" s="337"/>
      <c r="M21" s="337"/>
      <c r="N21" s="337"/>
      <c r="O21" s="337"/>
      <c r="P21" s="337"/>
      <c r="Q21" s="347"/>
      <c r="R21" s="347"/>
      <c r="S21" s="347"/>
      <c r="T21" s="347"/>
      <c r="U21" s="347"/>
      <c r="V21" s="753"/>
      <c r="W21" s="347"/>
      <c r="X21" s="347"/>
      <c r="Y21" s="347"/>
      <c r="Z21" s="347"/>
      <c r="AA21" s="347"/>
      <c r="AB21" s="347"/>
      <c r="AC21" s="347"/>
      <c r="AD21" s="347"/>
      <c r="AE21" s="375"/>
      <c r="AG21" s="377" t="s">
        <v>763</v>
      </c>
      <c r="AH21" s="347">
        <v>0</v>
      </c>
      <c r="AI21" s="347">
        <v>0</v>
      </c>
      <c r="AJ21" s="347">
        <f>4.73+414.56+29.25</f>
        <v>448.54</v>
      </c>
      <c r="AK21" s="347">
        <v>0</v>
      </c>
      <c r="AL21" s="347"/>
      <c r="AM21" s="347"/>
      <c r="AN21" s="347"/>
      <c r="AO21" s="347"/>
      <c r="AP21" s="375"/>
    </row>
    <row r="22" spans="1:42" ht="30.75" thickBot="1">
      <c r="A22" s="211">
        <v>1.8</v>
      </c>
      <c r="B22" s="333" t="s">
        <v>514</v>
      </c>
      <c r="C22" s="202">
        <f>C19+C20+C21</f>
        <v>4878</v>
      </c>
      <c r="D22" s="206">
        <v>4878</v>
      </c>
      <c r="E22" s="206">
        <v>4781.54</v>
      </c>
      <c r="F22" s="206">
        <v>4781.54</v>
      </c>
      <c r="G22" s="206">
        <f>F22-E22</f>
        <v>0</v>
      </c>
      <c r="H22" s="206">
        <v>27.72</v>
      </c>
      <c r="I22" s="206">
        <v>-9.4</v>
      </c>
      <c r="J22" s="206">
        <f>I22-H22</f>
        <v>-37.119999999999997</v>
      </c>
      <c r="K22" s="206">
        <v>0</v>
      </c>
      <c r="L22" s="206">
        <v>0</v>
      </c>
      <c r="M22" s="206">
        <f>L22-K22</f>
        <v>0</v>
      </c>
      <c r="N22" s="206">
        <v>68.739999999999995</v>
      </c>
      <c r="O22" s="206">
        <v>162</v>
      </c>
      <c r="P22" s="206">
        <f>O22-N22</f>
        <v>93.26</v>
      </c>
      <c r="Q22" s="347"/>
      <c r="R22" s="347"/>
      <c r="S22" s="347"/>
      <c r="T22" s="347"/>
      <c r="U22" s="347"/>
      <c r="V22" s="753"/>
      <c r="W22" s="347"/>
      <c r="X22" s="347"/>
      <c r="Y22" s="347"/>
      <c r="Z22" s="347"/>
      <c r="AA22" s="347"/>
      <c r="AB22" s="347"/>
      <c r="AC22" s="347"/>
      <c r="AD22" s="347"/>
      <c r="AE22" s="375"/>
      <c r="AG22" s="378" t="s">
        <v>766</v>
      </c>
      <c r="AH22" s="379">
        <f>AH18+AH19+AH20-AH21</f>
        <v>448.54</v>
      </c>
      <c r="AI22" s="379">
        <f>AI18+AI19+AI20-AI21</f>
        <v>448.54</v>
      </c>
      <c r="AJ22" s="379">
        <f>AJ18+AJ19+AJ20-AJ21</f>
        <v>0</v>
      </c>
      <c r="AK22" s="379">
        <v>0</v>
      </c>
      <c r="AL22" s="379"/>
      <c r="AM22" s="379"/>
      <c r="AN22" s="379"/>
      <c r="AO22" s="379"/>
      <c r="AP22" s="380"/>
    </row>
    <row r="23" spans="1:42">
      <c r="A23" s="211">
        <v>2</v>
      </c>
      <c r="B23" s="458" t="s">
        <v>515</v>
      </c>
      <c r="C23" s="458"/>
      <c r="D23" s="635"/>
      <c r="E23" s="458"/>
      <c r="F23" s="458"/>
      <c r="G23" s="458"/>
      <c r="H23" s="458"/>
      <c r="I23" s="458"/>
      <c r="J23" s="458"/>
      <c r="K23" s="636"/>
      <c r="L23" s="636"/>
      <c r="M23" s="636"/>
      <c r="N23" s="458"/>
      <c r="O23" s="458"/>
      <c r="P23" s="458"/>
      <c r="Q23" s="347"/>
      <c r="R23" s="347"/>
      <c r="S23" s="347"/>
      <c r="T23" s="347"/>
      <c r="U23" s="347"/>
      <c r="V23" s="753"/>
      <c r="W23" s="347"/>
      <c r="X23" s="347"/>
      <c r="Y23" s="347"/>
      <c r="Z23" s="347"/>
      <c r="AA23" s="347"/>
      <c r="AB23" s="347"/>
      <c r="AC23" s="347"/>
      <c r="AD23" s="347"/>
      <c r="AE23" s="375"/>
    </row>
    <row r="24" spans="1:42" ht="26.25" customHeight="1">
      <c r="A24" s="336">
        <v>2.1</v>
      </c>
      <c r="B24" s="369" t="s">
        <v>516</v>
      </c>
      <c r="C24" s="337">
        <v>490</v>
      </c>
      <c r="D24" s="371"/>
      <c r="E24" s="337"/>
      <c r="F24" s="337"/>
      <c r="G24" s="337"/>
      <c r="H24" s="337"/>
      <c r="I24" s="337"/>
      <c r="J24" s="337"/>
      <c r="K24" s="631"/>
      <c r="L24" s="631"/>
      <c r="M24" s="631"/>
      <c r="N24" s="337"/>
      <c r="O24" s="337"/>
      <c r="P24" s="337"/>
      <c r="Q24" s="347"/>
      <c r="R24" s="347"/>
      <c r="S24" s="347"/>
      <c r="T24" s="347"/>
      <c r="U24" s="347"/>
      <c r="V24" s="753"/>
      <c r="W24" s="347"/>
      <c r="X24" s="347"/>
      <c r="Y24" s="347"/>
      <c r="Z24" s="347"/>
      <c r="AA24" s="347"/>
      <c r="AB24" s="347"/>
      <c r="AC24" s="347"/>
      <c r="AD24" s="347"/>
      <c r="AE24" s="375"/>
    </row>
    <row r="25" spans="1:42">
      <c r="A25" s="336">
        <v>2.2000000000000002</v>
      </c>
      <c r="B25" s="369" t="s">
        <v>518</v>
      </c>
      <c r="C25" s="337">
        <v>340</v>
      </c>
      <c r="D25" s="371"/>
      <c r="E25" s="337"/>
      <c r="F25" s="337"/>
      <c r="G25" s="337"/>
      <c r="H25" s="337"/>
      <c r="I25" s="337"/>
      <c r="J25" s="337"/>
      <c r="K25" s="631"/>
      <c r="L25" s="631"/>
      <c r="M25" s="631"/>
      <c r="N25" s="337"/>
      <c r="O25" s="337"/>
      <c r="P25" s="337"/>
      <c r="Q25" s="347"/>
      <c r="R25" s="347"/>
      <c r="S25" s="347"/>
      <c r="T25" s="347"/>
      <c r="U25" s="347"/>
      <c r="V25" s="753"/>
      <c r="W25" s="347"/>
      <c r="X25" s="347"/>
      <c r="Y25" s="347"/>
      <c r="Z25" s="347"/>
      <c r="AA25" s="347"/>
      <c r="AB25" s="347"/>
      <c r="AC25" s="347"/>
      <c r="AD25" s="347"/>
      <c r="AE25" s="375"/>
    </row>
    <row r="26" spans="1:42">
      <c r="A26" s="336">
        <v>2.2999999999999998</v>
      </c>
      <c r="B26" s="369" t="s">
        <v>519</v>
      </c>
      <c r="C26" s="337">
        <v>140</v>
      </c>
      <c r="D26" s="371"/>
      <c r="E26" s="337"/>
      <c r="F26" s="337"/>
      <c r="G26" s="337"/>
      <c r="H26" s="337"/>
      <c r="I26" s="337"/>
      <c r="J26" s="337"/>
      <c r="K26" s="631"/>
      <c r="L26" s="631"/>
      <c r="M26" s="631"/>
      <c r="N26" s="337"/>
      <c r="O26" s="337"/>
      <c r="P26" s="337"/>
      <c r="Q26" s="347"/>
      <c r="R26" s="347"/>
      <c r="S26" s="347"/>
      <c r="T26" s="347"/>
      <c r="U26" s="347"/>
      <c r="V26" s="753"/>
      <c r="W26" s="347"/>
      <c r="X26" s="347"/>
      <c r="Y26" s="347"/>
      <c r="Z26" s="347"/>
      <c r="AA26" s="347"/>
      <c r="AB26" s="347"/>
      <c r="AC26" s="347"/>
      <c r="AD26" s="347"/>
      <c r="AE26" s="375"/>
    </row>
    <row r="27" spans="1:42">
      <c r="A27" s="336">
        <v>2.4</v>
      </c>
      <c r="B27" s="369" t="s">
        <v>520</v>
      </c>
      <c r="C27" s="337">
        <v>3</v>
      </c>
      <c r="D27" s="371"/>
      <c r="E27" s="337"/>
      <c r="F27" s="337"/>
      <c r="G27" s="337"/>
      <c r="H27" s="337"/>
      <c r="I27" s="337"/>
      <c r="J27" s="337"/>
      <c r="K27" s="631"/>
      <c r="L27" s="631"/>
      <c r="M27" s="631"/>
      <c r="N27" s="337"/>
      <c r="O27" s="337"/>
      <c r="P27" s="337"/>
      <c r="Q27" s="347"/>
      <c r="R27" s="347"/>
      <c r="S27" s="347"/>
      <c r="T27" s="347"/>
      <c r="U27" s="347"/>
      <c r="V27" s="753"/>
      <c r="W27" s="347"/>
      <c r="X27" s="347"/>
      <c r="Y27" s="347"/>
      <c r="Z27" s="347"/>
      <c r="AA27" s="347"/>
      <c r="AB27" s="347"/>
      <c r="AC27" s="347"/>
      <c r="AD27" s="347"/>
      <c r="AE27" s="375"/>
    </row>
    <row r="28" spans="1:42">
      <c r="A28" s="336">
        <v>2.5</v>
      </c>
      <c r="B28" s="369" t="s">
        <v>511</v>
      </c>
      <c r="C28" s="337">
        <v>973</v>
      </c>
      <c r="D28" s="371"/>
      <c r="E28" s="337"/>
      <c r="F28" s="337"/>
      <c r="G28" s="337"/>
      <c r="H28" s="337"/>
      <c r="I28" s="337"/>
      <c r="J28" s="337"/>
      <c r="K28" s="631"/>
      <c r="L28" s="631"/>
      <c r="M28" s="631"/>
      <c r="N28" s="337"/>
      <c r="O28" s="337"/>
      <c r="P28" s="337"/>
      <c r="Q28" s="347"/>
      <c r="R28" s="347"/>
      <c r="S28" s="347"/>
      <c r="T28" s="347"/>
      <c r="U28" s="347"/>
      <c r="V28" s="753"/>
      <c r="W28" s="347"/>
      <c r="X28" s="347"/>
      <c r="Y28" s="347"/>
      <c r="Z28" s="347"/>
      <c r="AA28" s="347"/>
      <c r="AB28" s="347"/>
      <c r="AC28" s="347"/>
      <c r="AD28" s="347"/>
      <c r="AE28" s="375"/>
    </row>
    <row r="29" spans="1:42" ht="15.75" thickBot="1">
      <c r="A29" s="336">
        <v>2.6</v>
      </c>
      <c r="B29" s="369" t="s">
        <v>521</v>
      </c>
      <c r="C29" s="337">
        <v>65</v>
      </c>
      <c r="D29" s="371"/>
      <c r="E29" s="337"/>
      <c r="F29" s="337"/>
      <c r="G29" s="337"/>
      <c r="H29" s="337"/>
      <c r="I29" s="337"/>
      <c r="J29" s="337"/>
      <c r="K29" s="631"/>
      <c r="L29" s="631"/>
      <c r="M29" s="631"/>
      <c r="N29" s="337"/>
      <c r="O29" s="337"/>
      <c r="P29" s="337"/>
      <c r="Q29" s="347"/>
      <c r="R29" s="347"/>
      <c r="S29" s="347"/>
      <c r="T29" s="347"/>
      <c r="U29" s="347"/>
      <c r="V29" s="753"/>
      <c r="W29" s="347"/>
      <c r="X29" s="347"/>
      <c r="Y29" s="347"/>
      <c r="Z29" s="347"/>
      <c r="AA29" s="347"/>
      <c r="AB29" s="347"/>
      <c r="AC29" s="347"/>
      <c r="AD29" s="347"/>
      <c r="AE29" s="375"/>
      <c r="AG29" s="1941" t="s">
        <v>769</v>
      </c>
      <c r="AH29" s="1941"/>
      <c r="AI29" s="1941"/>
      <c r="AJ29" s="1941"/>
      <c r="AK29" s="1941"/>
    </row>
    <row r="30" spans="1:42" ht="60">
      <c r="A30" s="211">
        <v>2.7</v>
      </c>
      <c r="B30" s="333" t="s">
        <v>522</v>
      </c>
      <c r="C30" s="202">
        <f>C28+C29</f>
        <v>1038</v>
      </c>
      <c r="D30" s="206">
        <v>1038</v>
      </c>
      <c r="E30" s="206">
        <v>864.96</v>
      </c>
      <c r="F30" s="206">
        <f>E30</f>
        <v>864.96</v>
      </c>
      <c r="G30" s="206">
        <f>F30-E30</f>
        <v>0</v>
      </c>
      <c r="H30" s="206">
        <v>30.32</v>
      </c>
      <c r="I30" s="206">
        <v>12.14</v>
      </c>
      <c r="J30" s="206">
        <f>I30-H30</f>
        <v>-18.18</v>
      </c>
      <c r="K30" s="206">
        <v>0</v>
      </c>
      <c r="L30" s="206">
        <v>100.32</v>
      </c>
      <c r="M30" s="206">
        <f>L30-K30</f>
        <v>100.32</v>
      </c>
      <c r="N30" s="206">
        <v>142.72</v>
      </c>
      <c r="O30" s="206">
        <v>42.58</v>
      </c>
      <c r="P30" s="206">
        <f>O30-N30</f>
        <v>-100.14</v>
      </c>
      <c r="Q30" s="347"/>
      <c r="R30" s="206"/>
      <c r="S30" s="347"/>
      <c r="T30" s="347"/>
      <c r="U30" s="347"/>
      <c r="V30" s="753"/>
      <c r="W30" s="347"/>
      <c r="X30" s="347"/>
      <c r="Y30" s="347"/>
      <c r="Z30" s="347"/>
      <c r="AA30" s="347"/>
      <c r="AB30" s="347"/>
      <c r="AC30" s="347"/>
      <c r="AD30" s="347"/>
      <c r="AE30" s="375"/>
      <c r="AG30" s="382" t="s">
        <v>768</v>
      </c>
      <c r="AH30" s="381" t="s">
        <v>753</v>
      </c>
      <c r="AI30" s="381" t="s">
        <v>754</v>
      </c>
      <c r="AJ30" s="383" t="s">
        <v>615</v>
      </c>
      <c r="AK30" s="383" t="s">
        <v>616</v>
      </c>
      <c r="AL30" s="383" t="s">
        <v>1026</v>
      </c>
      <c r="AM30" s="383" t="s">
        <v>1027</v>
      </c>
      <c r="AN30" s="383" t="s">
        <v>1028</v>
      </c>
      <c r="AO30" s="383" t="s">
        <v>1029</v>
      </c>
      <c r="AP30" s="384" t="s">
        <v>1030</v>
      </c>
    </row>
    <row r="31" spans="1:42" ht="45">
      <c r="A31" s="211">
        <v>3</v>
      </c>
      <c r="B31" s="459" t="s">
        <v>523</v>
      </c>
      <c r="C31" s="459"/>
      <c r="D31" s="459"/>
      <c r="E31" s="459"/>
      <c r="F31" s="459"/>
      <c r="G31" s="459"/>
      <c r="H31" s="459"/>
      <c r="I31" s="459"/>
      <c r="J31" s="459"/>
      <c r="K31" s="459"/>
      <c r="L31" s="459"/>
      <c r="M31" s="459"/>
      <c r="N31" s="459"/>
      <c r="O31" s="459"/>
      <c r="P31" s="459"/>
      <c r="Q31" s="347"/>
      <c r="R31" s="347"/>
      <c r="S31" s="347"/>
      <c r="T31" s="347"/>
      <c r="U31" s="347"/>
      <c r="V31" s="753"/>
      <c r="W31" s="347"/>
      <c r="X31" s="347"/>
      <c r="Y31" s="347"/>
      <c r="Z31" s="347"/>
      <c r="AA31" s="347"/>
      <c r="AB31" s="347"/>
      <c r="AC31" s="347"/>
      <c r="AD31" s="347"/>
      <c r="AE31" s="375"/>
      <c r="AG31" s="386" t="s">
        <v>765</v>
      </c>
      <c r="AH31" s="347"/>
      <c r="AI31" s="347"/>
      <c r="AJ31" s="347"/>
      <c r="AK31" s="347"/>
      <c r="AL31" s="347"/>
      <c r="AM31" s="347"/>
      <c r="AN31" s="347"/>
      <c r="AO31" s="347"/>
      <c r="AP31" s="375"/>
    </row>
    <row r="32" spans="1:42" ht="68.25" customHeight="1">
      <c r="A32" s="336">
        <v>3.1</v>
      </c>
      <c r="B32" s="369" t="s">
        <v>524</v>
      </c>
      <c r="C32" s="369">
        <v>59</v>
      </c>
      <c r="D32" s="206">
        <v>59</v>
      </c>
      <c r="E32" s="369">
        <v>40.36</v>
      </c>
      <c r="F32" s="369">
        <v>40.36</v>
      </c>
      <c r="G32" s="369">
        <f t="shared" ref="G32:G50" si="1">F32-E32</f>
        <v>0</v>
      </c>
      <c r="H32" s="369">
        <v>7.44</v>
      </c>
      <c r="I32" s="369">
        <v>-0.65</v>
      </c>
      <c r="J32" s="369">
        <f t="shared" ref="J32:J50" si="2">I32-H32</f>
        <v>-8.09</v>
      </c>
      <c r="K32" s="369">
        <v>0</v>
      </c>
      <c r="L32" s="369">
        <v>0.16</v>
      </c>
      <c r="M32" s="369">
        <f t="shared" ref="M32:M68" si="3">L32-K32</f>
        <v>0.16</v>
      </c>
      <c r="N32" s="369">
        <v>11.2</v>
      </c>
      <c r="O32" s="369">
        <v>10.130000000000001</v>
      </c>
      <c r="P32" s="369">
        <f t="shared" ref="P32:P68" si="4">O32-N32</f>
        <v>-1.0699999999999985</v>
      </c>
      <c r="Q32" s="347"/>
      <c r="R32" s="347"/>
      <c r="S32" s="347"/>
      <c r="T32" s="347"/>
      <c r="U32" s="347"/>
      <c r="V32" s="753"/>
      <c r="W32" s="347"/>
      <c r="X32" s="347"/>
      <c r="Y32" s="347"/>
      <c r="Z32" s="347"/>
      <c r="AA32" s="347"/>
      <c r="AB32" s="347"/>
      <c r="AC32" s="347"/>
      <c r="AD32" s="347"/>
      <c r="AE32" s="375"/>
      <c r="AG32" s="386" t="s">
        <v>707</v>
      </c>
      <c r="AH32" s="347">
        <v>414.56</v>
      </c>
      <c r="AI32" s="347">
        <v>414.56</v>
      </c>
      <c r="AJ32" s="347">
        <v>414.56</v>
      </c>
      <c r="AK32" s="347">
        <v>414.56</v>
      </c>
      <c r="AL32" s="347"/>
      <c r="AM32" s="347"/>
      <c r="AN32" s="347"/>
      <c r="AO32" s="347"/>
      <c r="AP32" s="375"/>
    </row>
    <row r="33" spans="1:42" ht="24">
      <c r="A33" s="336">
        <v>3.2</v>
      </c>
      <c r="B33" s="369" t="s">
        <v>526</v>
      </c>
      <c r="C33" s="369">
        <v>1</v>
      </c>
      <c r="D33" s="206">
        <v>1</v>
      </c>
      <c r="E33" s="369">
        <v>0.02</v>
      </c>
      <c r="F33" s="369">
        <v>0.02</v>
      </c>
      <c r="G33" s="369">
        <f t="shared" si="1"/>
        <v>0</v>
      </c>
      <c r="H33" s="369">
        <v>0</v>
      </c>
      <c r="I33" s="369">
        <v>0</v>
      </c>
      <c r="J33" s="369">
        <f t="shared" si="2"/>
        <v>0</v>
      </c>
      <c r="K33" s="369">
        <v>0</v>
      </c>
      <c r="L33" s="369">
        <v>0</v>
      </c>
      <c r="M33" s="369">
        <f t="shared" si="3"/>
        <v>0</v>
      </c>
      <c r="N33" s="369">
        <v>0.98</v>
      </c>
      <c r="O33" s="369">
        <v>0.28000000000000003</v>
      </c>
      <c r="P33" s="369">
        <f t="shared" si="4"/>
        <v>-0.7</v>
      </c>
      <c r="Q33" s="347"/>
      <c r="R33" s="347"/>
      <c r="S33" s="347"/>
      <c r="T33" s="347"/>
      <c r="U33" s="347"/>
      <c r="V33" s="753"/>
      <c r="W33" s="347"/>
      <c r="X33" s="347"/>
      <c r="Y33" s="347"/>
      <c r="Z33" s="347"/>
      <c r="AA33" s="347"/>
      <c r="AB33" s="347"/>
      <c r="AC33" s="347"/>
      <c r="AD33" s="347"/>
      <c r="AE33" s="375"/>
      <c r="AG33" s="386" t="s">
        <v>709</v>
      </c>
      <c r="AH33" s="347">
        <v>29.25</v>
      </c>
      <c r="AI33" s="347">
        <v>29.25</v>
      </c>
      <c r="AJ33" s="347">
        <v>29.25</v>
      </c>
      <c r="AK33" s="347">
        <v>29.25</v>
      </c>
      <c r="AL33" s="347"/>
      <c r="AM33" s="347"/>
      <c r="AN33" s="347"/>
      <c r="AO33" s="347"/>
      <c r="AP33" s="375"/>
    </row>
    <row r="34" spans="1:42" ht="30">
      <c r="A34" s="336">
        <v>3.3</v>
      </c>
      <c r="B34" s="369" t="s">
        <v>528</v>
      </c>
      <c r="C34" s="369">
        <v>25</v>
      </c>
      <c r="D34" s="206">
        <v>25</v>
      </c>
      <c r="E34" s="369">
        <v>21.35</v>
      </c>
      <c r="F34" s="369">
        <v>21.35</v>
      </c>
      <c r="G34" s="369">
        <f t="shared" si="1"/>
        <v>0</v>
      </c>
      <c r="H34" s="369">
        <v>0</v>
      </c>
      <c r="I34" s="369">
        <v>2.0299999999999998</v>
      </c>
      <c r="J34" s="369">
        <f t="shared" si="2"/>
        <v>2.0299999999999998</v>
      </c>
      <c r="K34" s="369">
        <v>0</v>
      </c>
      <c r="L34" s="369">
        <v>0.01</v>
      </c>
      <c r="M34" s="369">
        <f t="shared" si="3"/>
        <v>0.01</v>
      </c>
      <c r="N34" s="369">
        <v>3.65</v>
      </c>
      <c r="O34" s="369">
        <v>0.61</v>
      </c>
      <c r="P34" s="369">
        <f t="shared" si="4"/>
        <v>-3.04</v>
      </c>
      <c r="Q34" s="347"/>
      <c r="R34" s="347"/>
      <c r="S34" s="347"/>
      <c r="T34" s="347"/>
      <c r="U34" s="347"/>
      <c r="V34" s="753"/>
      <c r="W34" s="347"/>
      <c r="X34" s="347"/>
      <c r="Y34" s="347"/>
      <c r="Z34" s="347"/>
      <c r="AA34" s="347"/>
      <c r="AB34" s="347"/>
      <c r="AC34" s="347"/>
      <c r="AD34" s="347"/>
      <c r="AE34" s="375"/>
      <c r="AG34" s="386" t="s">
        <v>764</v>
      </c>
      <c r="AH34" s="347">
        <v>4.7300000000000004</v>
      </c>
      <c r="AI34" s="347">
        <v>0</v>
      </c>
      <c r="AJ34" s="347">
        <v>0</v>
      </c>
      <c r="AK34" s="347">
        <v>0</v>
      </c>
      <c r="AL34" s="347"/>
      <c r="AM34" s="347"/>
      <c r="AN34" s="347"/>
      <c r="AO34" s="347"/>
      <c r="AP34" s="375"/>
    </row>
    <row r="35" spans="1:42" ht="75">
      <c r="A35" s="336">
        <v>3.4</v>
      </c>
      <c r="B35" s="369" t="s">
        <v>755</v>
      </c>
      <c r="C35" s="337">
        <v>20</v>
      </c>
      <c r="D35" s="206">
        <v>20</v>
      </c>
      <c r="E35" s="337">
        <v>11.44</v>
      </c>
      <c r="F35" s="337">
        <v>11.44</v>
      </c>
      <c r="G35" s="337">
        <f t="shared" si="1"/>
        <v>0</v>
      </c>
      <c r="H35" s="337">
        <v>0.27</v>
      </c>
      <c r="I35" s="337">
        <v>0.31</v>
      </c>
      <c r="J35" s="337">
        <f t="shared" si="2"/>
        <v>3.999999999999998E-2</v>
      </c>
      <c r="K35" s="337">
        <v>0</v>
      </c>
      <c r="L35" s="337">
        <v>0.59</v>
      </c>
      <c r="M35" s="337">
        <f t="shared" si="3"/>
        <v>0.59</v>
      </c>
      <c r="N35" s="337">
        <v>8.2899999999999991</v>
      </c>
      <c r="O35" s="337">
        <v>7.66</v>
      </c>
      <c r="P35" s="337">
        <f t="shared" si="4"/>
        <v>-0.62999999999999901</v>
      </c>
      <c r="Q35" s="347"/>
      <c r="R35" s="347"/>
      <c r="S35" s="347"/>
      <c r="T35" s="347"/>
      <c r="U35" s="347"/>
      <c r="V35" s="753"/>
      <c r="W35" s="347"/>
      <c r="X35" s="347"/>
      <c r="Y35" s="347"/>
      <c r="Z35" s="347"/>
      <c r="AA35" s="347"/>
      <c r="AB35" s="347"/>
      <c r="AC35" s="347"/>
      <c r="AD35" s="347"/>
      <c r="AE35" s="375"/>
      <c r="AG35" s="386" t="s">
        <v>763</v>
      </c>
      <c r="AH35" s="347">
        <v>4.7300000000000004</v>
      </c>
      <c r="AI35" s="347">
        <v>0</v>
      </c>
      <c r="AJ35" s="347">
        <v>0</v>
      </c>
      <c r="AK35" s="347">
        <v>0</v>
      </c>
      <c r="AL35" s="347"/>
      <c r="AM35" s="347"/>
      <c r="AN35" s="347"/>
      <c r="AO35" s="347"/>
      <c r="AP35" s="375"/>
    </row>
    <row r="36" spans="1:42" ht="30.75" thickBot="1">
      <c r="A36" s="336">
        <v>3.5</v>
      </c>
      <c r="B36" s="369" t="s">
        <v>832</v>
      </c>
      <c r="C36" s="337">
        <v>56.48</v>
      </c>
      <c r="D36" s="206">
        <v>56.48</v>
      </c>
      <c r="E36" s="337">
        <v>42.61</v>
      </c>
      <c r="F36" s="337">
        <v>42.61</v>
      </c>
      <c r="G36" s="337">
        <f t="shared" si="1"/>
        <v>0</v>
      </c>
      <c r="H36" s="337">
        <v>1.5</v>
      </c>
      <c r="I36" s="337">
        <v>3.11</v>
      </c>
      <c r="J36" s="337">
        <f t="shared" si="2"/>
        <v>1.6099999999999999</v>
      </c>
      <c r="K36" s="337">
        <v>0</v>
      </c>
      <c r="L36" s="337">
        <v>-1.0900000000000001</v>
      </c>
      <c r="M36" s="337">
        <f t="shared" si="3"/>
        <v>-1.0900000000000001</v>
      </c>
      <c r="N36" s="337">
        <v>12.37</v>
      </c>
      <c r="O36" s="337">
        <v>7.37</v>
      </c>
      <c r="P36" s="337">
        <f t="shared" si="4"/>
        <v>-4.9999999999999991</v>
      </c>
      <c r="Q36" s="347"/>
      <c r="R36" s="347"/>
      <c r="S36" s="347"/>
      <c r="T36" s="347"/>
      <c r="U36" s="347"/>
      <c r="V36" s="753"/>
      <c r="W36" s="347"/>
      <c r="X36" s="347"/>
      <c r="Y36" s="347"/>
      <c r="Z36" s="347"/>
      <c r="AA36" s="347"/>
      <c r="AB36" s="347"/>
      <c r="AC36" s="347"/>
      <c r="AD36" s="347"/>
      <c r="AE36" s="375"/>
      <c r="AG36" s="387" t="s">
        <v>766</v>
      </c>
      <c r="AH36" s="379">
        <f>AH32+AH33+AH34-AH35</f>
        <v>443.81</v>
      </c>
      <c r="AI36" s="379">
        <f>AI32+AI33+AI34-AI35</f>
        <v>443.81</v>
      </c>
      <c r="AJ36" s="379">
        <f>AJ32+AJ33+AJ34-AJ35</f>
        <v>443.81</v>
      </c>
      <c r="AK36" s="379">
        <f>AK32+AK33+AK34-AK35</f>
        <v>443.81</v>
      </c>
      <c r="AL36" s="379"/>
      <c r="AM36" s="379"/>
      <c r="AN36" s="379"/>
      <c r="AO36" s="379"/>
      <c r="AP36" s="380"/>
    </row>
    <row r="37" spans="1:42">
      <c r="A37" s="336">
        <v>3.6</v>
      </c>
      <c r="B37" s="369" t="s">
        <v>535</v>
      </c>
      <c r="C37" s="337">
        <v>17</v>
      </c>
      <c r="D37" s="206">
        <v>17.190000000000001</v>
      </c>
      <c r="E37" s="337">
        <v>16.940000000000001</v>
      </c>
      <c r="F37" s="337">
        <v>16.940000000000001</v>
      </c>
      <c r="G37" s="337">
        <f t="shared" si="1"/>
        <v>0</v>
      </c>
      <c r="H37" s="337">
        <v>0.25</v>
      </c>
      <c r="I37" s="337">
        <v>0.25</v>
      </c>
      <c r="J37" s="337">
        <f t="shared" si="2"/>
        <v>0</v>
      </c>
      <c r="K37" s="337">
        <v>0</v>
      </c>
      <c r="L37" s="337">
        <v>0</v>
      </c>
      <c r="M37" s="337">
        <f t="shared" si="3"/>
        <v>0</v>
      </c>
      <c r="N37" s="337">
        <v>0</v>
      </c>
      <c r="O37" s="337">
        <v>1.81</v>
      </c>
      <c r="P37" s="337">
        <f t="shared" si="4"/>
        <v>1.81</v>
      </c>
      <c r="Q37" s="347"/>
      <c r="R37" s="347"/>
      <c r="S37" s="347"/>
      <c r="T37" s="347"/>
      <c r="U37" s="347"/>
      <c r="V37" s="753"/>
      <c r="W37" s="347"/>
      <c r="X37" s="347"/>
      <c r="Y37" s="347"/>
      <c r="Z37" s="347"/>
      <c r="AA37" s="347"/>
      <c r="AB37" s="347"/>
      <c r="AC37" s="347"/>
      <c r="AD37" s="347"/>
      <c r="AE37" s="375"/>
    </row>
    <row r="38" spans="1:42">
      <c r="A38" s="336">
        <v>3.7</v>
      </c>
      <c r="B38" s="369" t="s">
        <v>537</v>
      </c>
      <c r="C38" s="337">
        <v>67</v>
      </c>
      <c r="D38" s="206">
        <v>67</v>
      </c>
      <c r="E38" s="337">
        <v>43.17</v>
      </c>
      <c r="F38" s="337">
        <v>43.17</v>
      </c>
      <c r="G38" s="337">
        <f t="shared" si="1"/>
        <v>0</v>
      </c>
      <c r="H38" s="337">
        <v>5.05</v>
      </c>
      <c r="I38" s="337">
        <v>2.9</v>
      </c>
      <c r="J38" s="337">
        <f t="shared" si="2"/>
        <v>-2.15</v>
      </c>
      <c r="K38" s="347">
        <v>0</v>
      </c>
      <c r="L38" s="347">
        <v>5.41</v>
      </c>
      <c r="M38" s="347">
        <f t="shared" si="3"/>
        <v>5.41</v>
      </c>
      <c r="N38" s="337">
        <v>18.78</v>
      </c>
      <c r="O38" s="337">
        <v>6.52</v>
      </c>
      <c r="P38" s="337">
        <f t="shared" si="4"/>
        <v>-12.260000000000002</v>
      </c>
      <c r="Q38" s="347"/>
      <c r="R38" s="347"/>
      <c r="S38" s="347"/>
      <c r="T38" s="347"/>
      <c r="U38" s="347"/>
      <c r="V38" s="753"/>
      <c r="W38" s="347"/>
      <c r="X38" s="347"/>
      <c r="Y38" s="347"/>
      <c r="Z38" s="347"/>
      <c r="AA38" s="347"/>
      <c r="AB38" s="347"/>
      <c r="AC38" s="347"/>
      <c r="AD38" s="347"/>
      <c r="AE38" s="375"/>
    </row>
    <row r="39" spans="1:42">
      <c r="A39" s="336">
        <v>3.8</v>
      </c>
      <c r="B39" s="369" t="s">
        <v>539</v>
      </c>
      <c r="C39" s="337">
        <v>86</v>
      </c>
      <c r="D39" s="206">
        <v>86</v>
      </c>
      <c r="E39" s="337">
        <v>83.48</v>
      </c>
      <c r="F39" s="337">
        <v>83.48</v>
      </c>
      <c r="G39" s="337">
        <f t="shared" si="1"/>
        <v>0</v>
      </c>
      <c r="H39" s="337">
        <v>2.52</v>
      </c>
      <c r="I39" s="337">
        <v>0.48</v>
      </c>
      <c r="J39" s="337">
        <f t="shared" si="2"/>
        <v>-2.04</v>
      </c>
      <c r="K39" s="337">
        <v>0</v>
      </c>
      <c r="L39" s="337">
        <v>0.22</v>
      </c>
      <c r="M39" s="337">
        <f t="shared" si="3"/>
        <v>0.22</v>
      </c>
      <c r="N39" s="337">
        <v>0</v>
      </c>
      <c r="O39" s="337">
        <v>1.82</v>
      </c>
      <c r="P39" s="337">
        <f t="shared" si="4"/>
        <v>1.82</v>
      </c>
      <c r="Q39" s="347"/>
      <c r="R39" s="347"/>
      <c r="S39" s="347"/>
      <c r="T39" s="347"/>
      <c r="U39" s="347"/>
      <c r="V39" s="753"/>
      <c r="W39" s="347"/>
      <c r="X39" s="347"/>
      <c r="Y39" s="347"/>
      <c r="Z39" s="347"/>
      <c r="AA39" s="347"/>
      <c r="AB39" s="347"/>
      <c r="AC39" s="347"/>
      <c r="AD39" s="347"/>
      <c r="AE39" s="375"/>
    </row>
    <row r="40" spans="1:42">
      <c r="A40" s="336">
        <v>3.9</v>
      </c>
      <c r="B40" s="369" t="s">
        <v>540</v>
      </c>
      <c r="C40" s="337">
        <v>320</v>
      </c>
      <c r="D40" s="206">
        <v>320</v>
      </c>
      <c r="E40" s="337">
        <v>0</v>
      </c>
      <c r="F40" s="337">
        <v>0</v>
      </c>
      <c r="G40" s="337">
        <f t="shared" si="1"/>
        <v>0</v>
      </c>
      <c r="H40" s="337">
        <v>0</v>
      </c>
      <c r="I40" s="337">
        <v>0</v>
      </c>
      <c r="J40" s="337">
        <f t="shared" si="2"/>
        <v>0</v>
      </c>
      <c r="K40" s="337">
        <v>0</v>
      </c>
      <c r="L40" s="337">
        <v>0</v>
      </c>
      <c r="M40" s="337">
        <f t="shared" si="3"/>
        <v>0</v>
      </c>
      <c r="N40" s="337">
        <v>320</v>
      </c>
      <c r="O40" s="337">
        <v>292</v>
      </c>
      <c r="P40" s="337">
        <f t="shared" si="4"/>
        <v>-28</v>
      </c>
      <c r="Q40" s="347"/>
      <c r="R40" s="347"/>
      <c r="S40" s="347"/>
      <c r="T40" s="347"/>
      <c r="U40" s="347"/>
      <c r="V40" s="753"/>
      <c r="W40" s="347"/>
      <c r="X40" s="347"/>
      <c r="Y40" s="347"/>
      <c r="Z40" s="347"/>
      <c r="AA40" s="347"/>
      <c r="AB40" s="347"/>
      <c r="AC40" s="347"/>
      <c r="AD40" s="347"/>
      <c r="AE40" s="375"/>
    </row>
    <row r="41" spans="1:42" ht="24">
      <c r="A41" s="343">
        <v>3.1</v>
      </c>
      <c r="B41" s="369" t="s">
        <v>541</v>
      </c>
      <c r="C41" s="337">
        <v>5.4</v>
      </c>
      <c r="D41" s="206">
        <v>5.3999999999999995</v>
      </c>
      <c r="E41" s="337">
        <v>0.23</v>
      </c>
      <c r="F41" s="337">
        <v>0.23</v>
      </c>
      <c r="G41" s="337">
        <f t="shared" si="1"/>
        <v>0</v>
      </c>
      <c r="H41" s="337">
        <v>0.2</v>
      </c>
      <c r="I41" s="337">
        <v>0.37</v>
      </c>
      <c r="J41" s="337">
        <f t="shared" si="2"/>
        <v>0.16999999999999998</v>
      </c>
      <c r="K41" s="337">
        <v>0</v>
      </c>
      <c r="L41" s="337">
        <v>0.85</v>
      </c>
      <c r="M41" s="337">
        <f t="shared" si="3"/>
        <v>0.85</v>
      </c>
      <c r="N41" s="337">
        <v>4.97</v>
      </c>
      <c r="O41" s="337">
        <v>3.95</v>
      </c>
      <c r="P41" s="337">
        <f t="shared" si="4"/>
        <v>-1.0199999999999996</v>
      </c>
      <c r="Q41" s="347"/>
      <c r="R41" s="347"/>
      <c r="S41" s="347"/>
      <c r="T41" s="347"/>
      <c r="U41" s="347"/>
      <c r="V41" s="753"/>
      <c r="W41" s="347"/>
      <c r="X41" s="347"/>
      <c r="Y41" s="347"/>
      <c r="Z41" s="347"/>
      <c r="AA41" s="347"/>
      <c r="AB41" s="347"/>
      <c r="AC41" s="347"/>
      <c r="AD41" s="347"/>
      <c r="AE41" s="375"/>
    </row>
    <row r="42" spans="1:42">
      <c r="A42" s="336">
        <v>3.11</v>
      </c>
      <c r="B42" s="369" t="s">
        <v>542</v>
      </c>
      <c r="C42" s="337">
        <v>80</v>
      </c>
      <c r="D42" s="206">
        <v>113.32</v>
      </c>
      <c r="E42" s="337">
        <v>0</v>
      </c>
      <c r="F42" s="371">
        <v>0</v>
      </c>
      <c r="G42" s="371">
        <f t="shared" si="1"/>
        <v>0</v>
      </c>
      <c r="H42" s="337">
        <v>0</v>
      </c>
      <c r="I42" s="337">
        <v>0</v>
      </c>
      <c r="J42" s="337">
        <f t="shared" si="2"/>
        <v>0</v>
      </c>
      <c r="K42" s="337">
        <v>0</v>
      </c>
      <c r="L42" s="337">
        <v>0</v>
      </c>
      <c r="M42" s="337">
        <f t="shared" si="3"/>
        <v>0</v>
      </c>
      <c r="N42" s="337">
        <v>80</v>
      </c>
      <c r="O42" s="337">
        <v>184</v>
      </c>
      <c r="P42" s="337">
        <f t="shared" si="4"/>
        <v>104</v>
      </c>
      <c r="Q42" s="347"/>
      <c r="R42" s="347"/>
      <c r="S42" s="347"/>
      <c r="T42" s="347"/>
      <c r="U42" s="347"/>
      <c r="V42" s="753"/>
      <c r="W42" s="347"/>
      <c r="X42" s="347"/>
      <c r="Y42" s="347"/>
      <c r="Z42" s="347"/>
      <c r="AA42" s="347"/>
      <c r="AB42" s="347"/>
      <c r="AC42" s="347"/>
      <c r="AD42" s="347"/>
      <c r="AE42" s="375"/>
    </row>
    <row r="43" spans="1:42" ht="36">
      <c r="A43" s="336">
        <v>3.12</v>
      </c>
      <c r="B43" s="369" t="s">
        <v>744</v>
      </c>
      <c r="C43" s="337">
        <v>145</v>
      </c>
      <c r="D43" s="206">
        <v>145</v>
      </c>
      <c r="E43" s="337">
        <v>52.18</v>
      </c>
      <c r="F43" s="337">
        <f>E43</f>
        <v>52.18</v>
      </c>
      <c r="G43" s="337">
        <f t="shared" si="1"/>
        <v>0</v>
      </c>
      <c r="H43" s="337">
        <v>13.54</v>
      </c>
      <c r="I43" s="337">
        <v>11.32</v>
      </c>
      <c r="J43" s="337">
        <f t="shared" si="2"/>
        <v>-2.2199999999999989</v>
      </c>
      <c r="K43" s="337">
        <v>0</v>
      </c>
      <c r="L43" s="337">
        <v>26.8</v>
      </c>
      <c r="M43" s="337">
        <f t="shared" si="3"/>
        <v>26.8</v>
      </c>
      <c r="N43" s="337">
        <v>14.28</v>
      </c>
      <c r="O43" s="337">
        <v>54.7</v>
      </c>
      <c r="P43" s="337">
        <f t="shared" si="4"/>
        <v>40.42</v>
      </c>
      <c r="Q43" s="347"/>
      <c r="R43" s="347"/>
      <c r="S43" s="347"/>
      <c r="T43" s="347"/>
      <c r="U43" s="347"/>
      <c r="V43" s="753"/>
      <c r="W43" s="347"/>
      <c r="X43" s="347"/>
      <c r="Y43" s="347"/>
      <c r="Z43" s="347"/>
      <c r="AA43" s="347"/>
      <c r="AB43" s="347"/>
      <c r="AC43" s="347"/>
      <c r="AD43" s="347"/>
      <c r="AE43" s="375"/>
    </row>
    <row r="44" spans="1:42">
      <c r="A44" s="336">
        <v>3.13</v>
      </c>
      <c r="B44" s="369" t="s">
        <v>543</v>
      </c>
      <c r="C44" s="337">
        <v>5</v>
      </c>
      <c r="D44" s="206">
        <v>5</v>
      </c>
      <c r="E44" s="337">
        <v>0.79</v>
      </c>
      <c r="F44" s="337">
        <v>0.79</v>
      </c>
      <c r="G44" s="337">
        <f t="shared" si="1"/>
        <v>0</v>
      </c>
      <c r="H44" s="337">
        <v>0.18</v>
      </c>
      <c r="I44" s="337">
        <v>-0.01</v>
      </c>
      <c r="J44" s="337">
        <f t="shared" si="2"/>
        <v>-0.19</v>
      </c>
      <c r="K44" s="337">
        <v>0</v>
      </c>
      <c r="L44" s="337">
        <v>0.09</v>
      </c>
      <c r="M44" s="337">
        <f t="shared" si="3"/>
        <v>0.09</v>
      </c>
      <c r="N44" s="337">
        <v>4.03</v>
      </c>
      <c r="O44" s="337">
        <v>3.13</v>
      </c>
      <c r="P44" s="337">
        <f t="shared" si="4"/>
        <v>-0.90000000000000036</v>
      </c>
      <c r="Q44" s="347"/>
      <c r="R44" s="347"/>
      <c r="S44" s="347"/>
      <c r="T44" s="347"/>
      <c r="U44" s="347"/>
      <c r="V44" s="753"/>
      <c r="W44" s="347"/>
      <c r="X44" s="347"/>
      <c r="Y44" s="347"/>
      <c r="Z44" s="347"/>
      <c r="AA44" s="347"/>
      <c r="AB44" s="347"/>
      <c r="AC44" s="347"/>
      <c r="AD44" s="347"/>
      <c r="AE44" s="375"/>
    </row>
    <row r="45" spans="1:42" ht="36">
      <c r="A45" s="336">
        <v>3.14</v>
      </c>
      <c r="B45" s="369" t="s">
        <v>756</v>
      </c>
      <c r="C45" s="337">
        <v>22.1</v>
      </c>
      <c r="D45" s="206">
        <v>22.1</v>
      </c>
      <c r="E45" s="337">
        <v>9.4499999999999993</v>
      </c>
      <c r="F45" s="337">
        <v>9.4499999999999993</v>
      </c>
      <c r="G45" s="337">
        <f t="shared" si="1"/>
        <v>0</v>
      </c>
      <c r="H45" s="337">
        <v>0.6</v>
      </c>
      <c r="I45" s="337">
        <v>0.6</v>
      </c>
      <c r="J45" s="337">
        <f t="shared" si="2"/>
        <v>0</v>
      </c>
      <c r="K45" s="337">
        <v>0</v>
      </c>
      <c r="L45" s="337">
        <v>0.68</v>
      </c>
      <c r="M45" s="337">
        <f t="shared" si="3"/>
        <v>0.68</v>
      </c>
      <c r="N45" s="337">
        <v>12.05</v>
      </c>
      <c r="O45" s="337">
        <v>11.37</v>
      </c>
      <c r="P45" s="337">
        <f t="shared" si="4"/>
        <v>-0.68000000000000149</v>
      </c>
      <c r="Q45" s="347"/>
      <c r="R45" s="347"/>
      <c r="S45" s="347"/>
      <c r="T45" s="347"/>
      <c r="U45" s="347"/>
      <c r="V45" s="753"/>
      <c r="W45" s="347"/>
      <c r="X45" s="347"/>
      <c r="Y45" s="347"/>
      <c r="Z45" s="347"/>
      <c r="AA45" s="347"/>
      <c r="AB45" s="347"/>
      <c r="AC45" s="347"/>
      <c r="AD45" s="347"/>
      <c r="AE45" s="375"/>
    </row>
    <row r="46" spans="1:42" ht="24">
      <c r="A46" s="336">
        <v>3.15</v>
      </c>
      <c r="B46" s="369" t="s">
        <v>545</v>
      </c>
      <c r="C46" s="337">
        <v>2</v>
      </c>
      <c r="D46" s="206">
        <v>2</v>
      </c>
      <c r="E46" s="337">
        <v>0.42</v>
      </c>
      <c r="F46" s="337">
        <v>0.42</v>
      </c>
      <c r="G46" s="337">
        <f t="shared" si="1"/>
        <v>0</v>
      </c>
      <c r="H46" s="337">
        <v>0</v>
      </c>
      <c r="I46" s="337">
        <v>0.03</v>
      </c>
      <c r="J46" s="337">
        <f t="shared" si="2"/>
        <v>0.03</v>
      </c>
      <c r="K46" s="337">
        <v>0</v>
      </c>
      <c r="L46" s="337">
        <v>0</v>
      </c>
      <c r="M46" s="337">
        <f t="shared" si="3"/>
        <v>0</v>
      </c>
      <c r="N46" s="337">
        <v>1.58</v>
      </c>
      <c r="O46" s="337">
        <v>1.55</v>
      </c>
      <c r="P46" s="337">
        <f t="shared" si="4"/>
        <v>-3.0000000000000027E-2</v>
      </c>
      <c r="Q46" s="347"/>
      <c r="R46" s="347"/>
      <c r="S46" s="347"/>
      <c r="T46" s="347"/>
      <c r="U46" s="347"/>
      <c r="V46" s="753"/>
      <c r="W46" s="347"/>
      <c r="X46" s="347"/>
      <c r="Y46" s="347"/>
      <c r="Z46" s="347"/>
      <c r="AA46" s="347"/>
      <c r="AB46" s="347"/>
      <c r="AC46" s="347"/>
      <c r="AD46" s="347"/>
      <c r="AE46" s="375"/>
    </row>
    <row r="47" spans="1:42" ht="24">
      <c r="A47" s="336">
        <v>3.16</v>
      </c>
      <c r="B47" s="369" t="s">
        <v>548</v>
      </c>
      <c r="C47" s="337">
        <v>5</v>
      </c>
      <c r="D47" s="206">
        <v>5</v>
      </c>
      <c r="E47" s="337">
        <v>2.37</v>
      </c>
      <c r="F47" s="337">
        <v>2.37</v>
      </c>
      <c r="G47" s="337">
        <f t="shared" si="1"/>
        <v>0</v>
      </c>
      <c r="H47" s="337">
        <v>0</v>
      </c>
      <c r="I47" s="337">
        <v>-0.19</v>
      </c>
      <c r="J47" s="337">
        <f t="shared" si="2"/>
        <v>-0.19</v>
      </c>
      <c r="K47" s="337">
        <v>0</v>
      </c>
      <c r="L47" s="337">
        <v>0.54</v>
      </c>
      <c r="M47" s="337">
        <f t="shared" si="3"/>
        <v>0.54</v>
      </c>
      <c r="N47" s="337">
        <v>2.63</v>
      </c>
      <c r="O47" s="337">
        <v>3.28</v>
      </c>
      <c r="P47" s="337">
        <f t="shared" si="4"/>
        <v>0.64999999999999991</v>
      </c>
      <c r="Q47" s="347"/>
      <c r="R47" s="347"/>
      <c r="S47" s="347"/>
      <c r="T47" s="347"/>
      <c r="U47" s="347"/>
      <c r="V47" s="753"/>
      <c r="W47" s="347"/>
      <c r="X47" s="347"/>
      <c r="Y47" s="347"/>
      <c r="Z47" s="347"/>
      <c r="AA47" s="347"/>
      <c r="AB47" s="347"/>
      <c r="AC47" s="347"/>
      <c r="AD47" s="347"/>
      <c r="AE47" s="375"/>
    </row>
    <row r="48" spans="1:42">
      <c r="A48" s="336">
        <v>3.17</v>
      </c>
      <c r="B48" s="369" t="s">
        <v>549</v>
      </c>
      <c r="C48" s="337">
        <v>5</v>
      </c>
      <c r="D48" s="206">
        <v>5</v>
      </c>
      <c r="E48" s="337">
        <v>3.48</v>
      </c>
      <c r="F48" s="337">
        <v>3.48</v>
      </c>
      <c r="G48" s="337">
        <f t="shared" si="1"/>
        <v>0</v>
      </c>
      <c r="H48" s="337">
        <v>0.33</v>
      </c>
      <c r="I48" s="337">
        <v>0.51</v>
      </c>
      <c r="J48" s="337">
        <f t="shared" si="2"/>
        <v>0.18</v>
      </c>
      <c r="K48" s="337">
        <v>0</v>
      </c>
      <c r="L48" s="347">
        <v>0.51</v>
      </c>
      <c r="M48" s="347">
        <f t="shared" si="3"/>
        <v>0.51</v>
      </c>
      <c r="N48" s="337">
        <v>1.19</v>
      </c>
      <c r="O48" s="337">
        <v>3.5</v>
      </c>
      <c r="P48" s="337">
        <f t="shared" si="4"/>
        <v>2.31</v>
      </c>
      <c r="Q48" s="347"/>
      <c r="R48" s="347"/>
      <c r="S48" s="347"/>
      <c r="T48" s="347"/>
      <c r="U48" s="347"/>
      <c r="V48" s="753"/>
      <c r="W48" s="347"/>
      <c r="X48" s="347"/>
      <c r="Y48" s="347"/>
      <c r="Z48" s="347"/>
      <c r="AA48" s="347"/>
      <c r="AB48" s="347"/>
      <c r="AC48" s="347"/>
      <c r="AD48" s="347"/>
      <c r="AE48" s="375"/>
    </row>
    <row r="49" spans="1:31">
      <c r="A49" s="638">
        <v>3.18</v>
      </c>
      <c r="B49" s="473" t="s">
        <v>745</v>
      </c>
      <c r="C49" s="337">
        <v>0</v>
      </c>
      <c r="D49" s="206">
        <v>28.69</v>
      </c>
      <c r="E49" s="337">
        <v>0</v>
      </c>
      <c r="F49" s="337">
        <v>0</v>
      </c>
      <c r="G49" s="337">
        <f t="shared" si="1"/>
        <v>0</v>
      </c>
      <c r="H49" s="337">
        <v>28.69</v>
      </c>
      <c r="I49" s="337">
        <v>0</v>
      </c>
      <c r="J49" s="337">
        <f t="shared" si="2"/>
        <v>-28.69</v>
      </c>
      <c r="K49" s="337">
        <v>0</v>
      </c>
      <c r="L49" s="337">
        <v>28.7</v>
      </c>
      <c r="M49" s="337">
        <f t="shared" si="3"/>
        <v>28.7</v>
      </c>
      <c r="N49" s="337">
        <v>0</v>
      </c>
      <c r="O49" s="337">
        <v>0</v>
      </c>
      <c r="P49" s="337">
        <f t="shared" si="4"/>
        <v>0</v>
      </c>
      <c r="Q49" s="347"/>
      <c r="R49" s="347"/>
      <c r="S49" s="347"/>
      <c r="T49" s="347"/>
      <c r="U49" s="347"/>
      <c r="V49" s="753"/>
      <c r="W49" s="347"/>
      <c r="X49" s="347"/>
      <c r="Y49" s="347"/>
      <c r="Z49" s="347"/>
      <c r="AA49" s="347"/>
      <c r="AB49" s="347"/>
      <c r="AC49" s="347"/>
      <c r="AD49" s="347"/>
      <c r="AE49" s="375"/>
    </row>
    <row r="50" spans="1:31" ht="36">
      <c r="A50" s="211"/>
      <c r="B50" s="205" t="s">
        <v>551</v>
      </c>
      <c r="C50" s="367">
        <f>SUM(C32:C49)</f>
        <v>920.98</v>
      </c>
      <c r="D50" s="206">
        <f>SUM(D32:D49)</f>
        <v>983.18</v>
      </c>
      <c r="E50" s="367">
        <f t="shared" ref="E50:O50" si="5">SUM(E32:E49)</f>
        <v>328.29000000000008</v>
      </c>
      <c r="F50" s="367">
        <f t="shared" si="5"/>
        <v>328.29000000000008</v>
      </c>
      <c r="G50" s="367">
        <f t="shared" si="1"/>
        <v>0</v>
      </c>
      <c r="H50" s="367">
        <f t="shared" si="5"/>
        <v>60.57</v>
      </c>
      <c r="I50" s="367">
        <f t="shared" si="5"/>
        <v>21.06</v>
      </c>
      <c r="J50" s="367">
        <f t="shared" si="2"/>
        <v>-39.510000000000005</v>
      </c>
      <c r="K50" s="367">
        <f t="shared" si="5"/>
        <v>0</v>
      </c>
      <c r="L50" s="367">
        <f t="shared" si="5"/>
        <v>63.47</v>
      </c>
      <c r="M50" s="367">
        <f t="shared" si="3"/>
        <v>63.47</v>
      </c>
      <c r="N50" s="367">
        <f t="shared" si="5"/>
        <v>495.99999999999994</v>
      </c>
      <c r="O50" s="367">
        <f t="shared" si="5"/>
        <v>593.67999999999995</v>
      </c>
      <c r="P50" s="367">
        <f t="shared" si="4"/>
        <v>97.68</v>
      </c>
      <c r="Q50" s="347"/>
      <c r="R50" s="347"/>
      <c r="S50" s="347"/>
      <c r="T50" s="347"/>
      <c r="U50" s="347"/>
      <c r="V50" s="753"/>
      <c r="W50" s="347"/>
      <c r="X50" s="347"/>
      <c r="Y50" s="347"/>
      <c r="Z50" s="347"/>
      <c r="AA50" s="347"/>
      <c r="AB50" s="347"/>
      <c r="AC50" s="347"/>
      <c r="AD50" s="347"/>
      <c r="AE50" s="375"/>
    </row>
    <row r="51" spans="1:31">
      <c r="A51" s="211">
        <v>4</v>
      </c>
      <c r="B51" s="222" t="s">
        <v>552</v>
      </c>
      <c r="C51" s="222"/>
      <c r="D51" s="206"/>
      <c r="E51" s="222"/>
      <c r="F51" s="222"/>
      <c r="G51" s="222"/>
      <c r="H51" s="222"/>
      <c r="I51" s="222"/>
      <c r="J51" s="222"/>
      <c r="K51" s="222"/>
      <c r="L51" s="222"/>
      <c r="M51" s="222">
        <f t="shared" si="3"/>
        <v>0</v>
      </c>
      <c r="N51" s="222"/>
      <c r="O51" s="222"/>
      <c r="P51" s="222">
        <f t="shared" si="4"/>
        <v>0</v>
      </c>
      <c r="Q51" s="347"/>
      <c r="R51" s="347"/>
      <c r="S51" s="347"/>
      <c r="T51" s="347"/>
      <c r="U51" s="347"/>
      <c r="V51" s="753"/>
      <c r="W51" s="347"/>
      <c r="X51" s="347"/>
      <c r="Y51" s="347"/>
      <c r="Z51" s="347"/>
      <c r="AA51" s="347"/>
      <c r="AB51" s="347"/>
      <c r="AC51" s="347"/>
      <c r="AD51" s="347"/>
      <c r="AE51" s="375"/>
    </row>
    <row r="52" spans="1:31" ht="36">
      <c r="A52" s="336">
        <v>4.0999999999999996</v>
      </c>
      <c r="B52" s="369" t="s">
        <v>757</v>
      </c>
      <c r="C52" s="337">
        <v>42</v>
      </c>
      <c r="D52" s="206">
        <v>42</v>
      </c>
      <c r="E52" s="337"/>
      <c r="F52" s="371">
        <f>D52</f>
        <v>42</v>
      </c>
      <c r="G52" s="371"/>
      <c r="H52" s="337"/>
      <c r="I52" s="337">
        <v>6.02</v>
      </c>
      <c r="J52" s="337">
        <f t="shared" ref="J52:J62" si="6">I52-H52</f>
        <v>6.02</v>
      </c>
      <c r="K52" s="337"/>
      <c r="L52" s="337">
        <v>0</v>
      </c>
      <c r="M52" s="337">
        <f t="shared" si="3"/>
        <v>0</v>
      </c>
      <c r="N52" s="337"/>
      <c r="O52" s="337">
        <v>0.98</v>
      </c>
      <c r="P52" s="337">
        <f t="shared" si="4"/>
        <v>0.98</v>
      </c>
      <c r="Q52" s="347"/>
      <c r="R52" s="347"/>
      <c r="S52" s="347"/>
      <c r="T52" s="347"/>
      <c r="U52" s="347"/>
      <c r="V52" s="753"/>
      <c r="W52" s="347"/>
      <c r="X52" s="347"/>
      <c r="Y52" s="347"/>
      <c r="Z52" s="347"/>
      <c r="AA52" s="347"/>
      <c r="AB52" s="347"/>
      <c r="AC52" s="347"/>
      <c r="AD52" s="347"/>
      <c r="AE52" s="375"/>
    </row>
    <row r="53" spans="1:31">
      <c r="A53" s="336">
        <v>4.2</v>
      </c>
      <c r="B53" s="369" t="s">
        <v>547</v>
      </c>
      <c r="C53" s="337">
        <v>25</v>
      </c>
      <c r="D53" s="206">
        <v>25</v>
      </c>
      <c r="E53" s="337"/>
      <c r="F53" s="371">
        <v>24.97</v>
      </c>
      <c r="G53" s="371"/>
      <c r="H53" s="337"/>
      <c r="I53" s="337">
        <v>-0.56999999999999995</v>
      </c>
      <c r="J53" s="337">
        <f t="shared" si="6"/>
        <v>-0.56999999999999995</v>
      </c>
      <c r="K53" s="337"/>
      <c r="L53" s="337">
        <v>0</v>
      </c>
      <c r="M53" s="337">
        <f t="shared" si="3"/>
        <v>0</v>
      </c>
      <c r="N53" s="337"/>
      <c r="O53" s="337">
        <v>5.6</v>
      </c>
      <c r="P53" s="337">
        <f t="shared" si="4"/>
        <v>5.6</v>
      </c>
      <c r="Q53" s="347"/>
      <c r="R53" s="347"/>
      <c r="S53" s="347"/>
      <c r="T53" s="347"/>
      <c r="U53" s="347"/>
      <c r="V53" s="753"/>
      <c r="W53" s="347"/>
      <c r="X53" s="347"/>
      <c r="Y53" s="347"/>
      <c r="Z53" s="347"/>
      <c r="AA53" s="347"/>
      <c r="AB53" s="347"/>
      <c r="AC53" s="347"/>
      <c r="AD53" s="347"/>
      <c r="AE53" s="375"/>
    </row>
    <row r="54" spans="1:31">
      <c r="A54" s="336">
        <v>4.3</v>
      </c>
      <c r="B54" s="369" t="s">
        <v>559</v>
      </c>
      <c r="C54" s="337">
        <v>40</v>
      </c>
      <c r="D54" s="206">
        <v>40.78</v>
      </c>
      <c r="E54" s="222"/>
      <c r="F54" s="371">
        <f t="shared" ref="F54:F61" si="7">D54</f>
        <v>40.78</v>
      </c>
      <c r="G54" s="371"/>
      <c r="H54" s="222"/>
      <c r="I54" s="222">
        <v>-0.57999999999999996</v>
      </c>
      <c r="J54" s="222">
        <f t="shared" si="6"/>
        <v>-0.57999999999999996</v>
      </c>
      <c r="K54" s="222"/>
      <c r="L54" s="222">
        <v>0</v>
      </c>
      <c r="M54" s="222">
        <f t="shared" si="3"/>
        <v>0</v>
      </c>
      <c r="N54" s="222"/>
      <c r="O54" s="222">
        <v>0.8</v>
      </c>
      <c r="P54" s="222">
        <f t="shared" si="4"/>
        <v>0.8</v>
      </c>
      <c r="Q54" s="347"/>
      <c r="R54" s="347"/>
      <c r="S54" s="347"/>
      <c r="T54" s="347"/>
      <c r="U54" s="347"/>
      <c r="V54" s="753"/>
      <c r="W54" s="347"/>
      <c r="X54" s="347"/>
      <c r="Y54" s="347"/>
      <c r="Z54" s="347"/>
      <c r="AA54" s="347"/>
      <c r="AB54" s="347"/>
      <c r="AC54" s="347"/>
      <c r="AD54" s="347"/>
      <c r="AE54" s="375"/>
    </row>
    <row r="55" spans="1:31">
      <c r="A55" s="336">
        <v>4.5</v>
      </c>
      <c r="B55" s="369" t="s">
        <v>560</v>
      </c>
      <c r="C55" s="337">
        <v>1.5</v>
      </c>
      <c r="D55" s="206">
        <v>1.5</v>
      </c>
      <c r="E55" s="337"/>
      <c r="F55" s="371">
        <v>0</v>
      </c>
      <c r="G55" s="371"/>
      <c r="H55" s="337"/>
      <c r="I55" s="337">
        <v>0</v>
      </c>
      <c r="J55" s="337">
        <f t="shared" si="6"/>
        <v>0</v>
      </c>
      <c r="K55" s="337"/>
      <c r="L55" s="337">
        <v>0</v>
      </c>
      <c r="M55" s="337">
        <f t="shared" si="3"/>
        <v>0</v>
      </c>
      <c r="N55" s="337"/>
      <c r="O55" s="337">
        <v>2</v>
      </c>
      <c r="P55" s="337">
        <f t="shared" si="4"/>
        <v>2</v>
      </c>
      <c r="Q55" s="347"/>
      <c r="R55" s="347"/>
      <c r="S55" s="347"/>
      <c r="T55" s="347"/>
      <c r="U55" s="347"/>
      <c r="V55" s="753"/>
      <c r="W55" s="347"/>
      <c r="X55" s="347"/>
      <c r="Y55" s="347"/>
      <c r="Z55" s="347"/>
      <c r="AA55" s="347"/>
      <c r="AB55" s="347"/>
      <c r="AC55" s="347"/>
      <c r="AD55" s="347"/>
      <c r="AE55" s="375"/>
    </row>
    <row r="56" spans="1:31">
      <c r="A56" s="336">
        <v>4.5999999999999996</v>
      </c>
      <c r="B56" s="369" t="s">
        <v>553</v>
      </c>
      <c r="C56" s="337">
        <v>47.52</v>
      </c>
      <c r="D56" s="206">
        <v>47.52</v>
      </c>
      <c r="E56" s="337"/>
      <c r="F56" s="371">
        <v>11.32</v>
      </c>
      <c r="G56" s="371"/>
      <c r="H56" s="337"/>
      <c r="I56" s="337">
        <v>2.4700000000000002</v>
      </c>
      <c r="J56" s="337">
        <f t="shared" si="6"/>
        <v>2.4700000000000002</v>
      </c>
      <c r="K56" s="337"/>
      <c r="L56" s="337">
        <v>2.41</v>
      </c>
      <c r="M56" s="337">
        <f t="shared" si="3"/>
        <v>2.41</v>
      </c>
      <c r="N56" s="337"/>
      <c r="O56" s="337">
        <v>-11.2</v>
      </c>
      <c r="P56" s="337">
        <f t="shared" si="4"/>
        <v>-11.2</v>
      </c>
      <c r="Q56" s="347"/>
      <c r="R56" s="347"/>
      <c r="S56" s="347"/>
      <c r="T56" s="347"/>
      <c r="U56" s="347"/>
      <c r="V56" s="753"/>
      <c r="W56" s="347"/>
      <c r="X56" s="347"/>
      <c r="Y56" s="347"/>
      <c r="Z56" s="347"/>
      <c r="AA56" s="347"/>
      <c r="AB56" s="347"/>
      <c r="AC56" s="347"/>
      <c r="AD56" s="347"/>
      <c r="AE56" s="375"/>
    </row>
    <row r="57" spans="1:31">
      <c r="A57" s="336">
        <v>4.7</v>
      </c>
      <c r="B57" s="369" t="s">
        <v>555</v>
      </c>
      <c r="C57" s="337">
        <v>70</v>
      </c>
      <c r="D57" s="206">
        <v>70</v>
      </c>
      <c r="E57" s="337"/>
      <c r="F57" s="371">
        <v>69.8</v>
      </c>
      <c r="G57" s="371"/>
      <c r="H57" s="337"/>
      <c r="I57" s="337">
        <v>20.09</v>
      </c>
      <c r="J57" s="337">
        <f t="shared" si="6"/>
        <v>20.09</v>
      </c>
      <c r="K57" s="337"/>
      <c r="L57" s="337">
        <v>-1.1599999999999999</v>
      </c>
      <c r="M57" s="337">
        <f t="shared" si="3"/>
        <v>-1.1599999999999999</v>
      </c>
      <c r="N57" s="337"/>
      <c r="O57" s="337">
        <v>5.27</v>
      </c>
      <c r="P57" s="337">
        <f t="shared" si="4"/>
        <v>5.27</v>
      </c>
      <c r="Q57" s="347"/>
      <c r="R57" s="347"/>
      <c r="S57" s="347"/>
      <c r="T57" s="347"/>
      <c r="U57" s="347"/>
      <c r="V57" s="753"/>
      <c r="W57" s="347"/>
      <c r="X57" s="347"/>
      <c r="Y57" s="347"/>
      <c r="Z57" s="347"/>
      <c r="AA57" s="347"/>
      <c r="AB57" s="347"/>
      <c r="AC57" s="347"/>
      <c r="AD57" s="347"/>
      <c r="AE57" s="375"/>
    </row>
    <row r="58" spans="1:31" ht="24">
      <c r="A58" s="336">
        <v>4.7</v>
      </c>
      <c r="B58" s="369" t="s">
        <v>557</v>
      </c>
      <c r="C58" s="337">
        <v>127</v>
      </c>
      <c r="D58" s="206">
        <v>127</v>
      </c>
      <c r="E58" s="337"/>
      <c r="F58" s="371">
        <v>109.73</v>
      </c>
      <c r="G58" s="371"/>
      <c r="H58" s="337"/>
      <c r="I58" s="337">
        <v>5.2</v>
      </c>
      <c r="J58" s="337">
        <f t="shared" si="6"/>
        <v>5.2</v>
      </c>
      <c r="K58" s="337"/>
      <c r="L58" s="337">
        <v>4.51</v>
      </c>
      <c r="M58" s="337">
        <f t="shared" si="3"/>
        <v>4.51</v>
      </c>
      <c r="N58" s="337"/>
      <c r="O58" s="337">
        <v>0.56000000000000005</v>
      </c>
      <c r="P58" s="337">
        <f t="shared" si="4"/>
        <v>0.56000000000000005</v>
      </c>
      <c r="Q58" s="347"/>
      <c r="R58" s="347"/>
      <c r="S58" s="347"/>
      <c r="T58" s="347"/>
      <c r="U58" s="347"/>
      <c r="V58" s="753"/>
      <c r="W58" s="347"/>
      <c r="X58" s="347"/>
      <c r="Y58" s="347"/>
      <c r="Z58" s="347"/>
      <c r="AA58" s="347"/>
      <c r="AB58" s="347"/>
      <c r="AC58" s="347"/>
      <c r="AD58" s="347"/>
      <c r="AE58" s="375"/>
    </row>
    <row r="59" spans="1:31" ht="24">
      <c r="A59" s="639">
        <v>4.9000000000000004</v>
      </c>
      <c r="B59" s="369" t="s">
        <v>561</v>
      </c>
      <c r="C59" s="337">
        <v>0</v>
      </c>
      <c r="D59" s="206">
        <v>0</v>
      </c>
      <c r="E59" s="337"/>
      <c r="F59" s="371">
        <f t="shared" si="7"/>
        <v>0</v>
      </c>
      <c r="G59" s="371"/>
      <c r="H59" s="337"/>
      <c r="I59" s="337">
        <v>2.96</v>
      </c>
      <c r="J59" s="337">
        <f t="shared" si="6"/>
        <v>2.96</v>
      </c>
      <c r="K59" s="337"/>
      <c r="L59" s="337">
        <v>0</v>
      </c>
      <c r="M59" s="337">
        <f t="shared" si="3"/>
        <v>0</v>
      </c>
      <c r="N59" s="337"/>
      <c r="O59" s="337">
        <v>-2.96</v>
      </c>
      <c r="P59" s="337">
        <f t="shared" si="4"/>
        <v>-2.96</v>
      </c>
      <c r="Q59" s="347"/>
      <c r="R59" s="347"/>
      <c r="S59" s="347"/>
      <c r="T59" s="347"/>
      <c r="U59" s="347"/>
      <c r="V59" s="753"/>
      <c r="W59" s="347"/>
      <c r="X59" s="347"/>
      <c r="Y59" s="347"/>
      <c r="Z59" s="347"/>
      <c r="AA59" s="347"/>
      <c r="AB59" s="347"/>
      <c r="AC59" s="347"/>
      <c r="AD59" s="347"/>
      <c r="AE59" s="375"/>
    </row>
    <row r="60" spans="1:31">
      <c r="A60" s="343">
        <v>4.0999999999999996</v>
      </c>
      <c r="B60" s="369" t="s">
        <v>562</v>
      </c>
      <c r="C60" s="337">
        <v>0</v>
      </c>
      <c r="D60" s="206">
        <v>0</v>
      </c>
      <c r="E60" s="337"/>
      <c r="F60" s="371">
        <f t="shared" si="7"/>
        <v>0</v>
      </c>
      <c r="G60" s="371"/>
      <c r="H60" s="337"/>
      <c r="I60" s="337">
        <v>0</v>
      </c>
      <c r="J60" s="337">
        <f t="shared" si="6"/>
        <v>0</v>
      </c>
      <c r="K60" s="337"/>
      <c r="L60" s="337">
        <v>0</v>
      </c>
      <c r="M60" s="337">
        <f t="shared" si="3"/>
        <v>0</v>
      </c>
      <c r="N60" s="337"/>
      <c r="O60" s="337">
        <v>0</v>
      </c>
      <c r="P60" s="337">
        <f t="shared" si="4"/>
        <v>0</v>
      </c>
      <c r="Q60" s="347"/>
      <c r="R60" s="347"/>
      <c r="S60" s="347"/>
      <c r="T60" s="347"/>
      <c r="U60" s="347"/>
      <c r="V60" s="753"/>
      <c r="W60" s="347"/>
      <c r="X60" s="347"/>
      <c r="Y60" s="347"/>
      <c r="Z60" s="347"/>
      <c r="AA60" s="347"/>
      <c r="AB60" s="347"/>
      <c r="AC60" s="347"/>
      <c r="AD60" s="347"/>
      <c r="AE60" s="375"/>
    </row>
    <row r="61" spans="1:31">
      <c r="A61" s="336">
        <v>4.1100000000000003</v>
      </c>
      <c r="B61" s="369" t="s">
        <v>746</v>
      </c>
      <c r="C61" s="337">
        <v>0</v>
      </c>
      <c r="D61" s="206">
        <v>20.9</v>
      </c>
      <c r="E61" s="337"/>
      <c r="F61" s="371">
        <f t="shared" si="7"/>
        <v>20.9</v>
      </c>
      <c r="G61" s="371"/>
      <c r="H61" s="337"/>
      <c r="I61" s="337">
        <v>-4</v>
      </c>
      <c r="J61" s="337">
        <f t="shared" si="6"/>
        <v>-4</v>
      </c>
      <c r="K61" s="337"/>
      <c r="L61" s="337">
        <v>0.1</v>
      </c>
      <c r="M61" s="337">
        <f t="shared" si="3"/>
        <v>0.1</v>
      </c>
      <c r="N61" s="337"/>
      <c r="O61" s="337">
        <v>0</v>
      </c>
      <c r="P61" s="337">
        <f t="shared" si="4"/>
        <v>0</v>
      </c>
      <c r="Q61" s="347"/>
      <c r="R61" s="347"/>
      <c r="S61" s="347"/>
      <c r="T61" s="347"/>
      <c r="U61" s="347"/>
      <c r="V61" s="753"/>
      <c r="W61" s="347"/>
      <c r="X61" s="347"/>
      <c r="Y61" s="347"/>
      <c r="Z61" s="347"/>
      <c r="AA61" s="347"/>
      <c r="AB61" s="347"/>
      <c r="AC61" s="347"/>
      <c r="AD61" s="347"/>
      <c r="AE61" s="375"/>
    </row>
    <row r="62" spans="1:31">
      <c r="A62" s="336"/>
      <c r="B62" s="369" t="s">
        <v>511</v>
      </c>
      <c r="C62" s="452">
        <f>SUM(C52:C61)</f>
        <v>353.02</v>
      </c>
      <c r="D62" s="206">
        <f>SUM(D52:D61)</f>
        <v>374.7</v>
      </c>
      <c r="E62" s="452">
        <v>291.10000000000002</v>
      </c>
      <c r="F62" s="452">
        <f>SUM(F52:F61)</f>
        <v>319.5</v>
      </c>
      <c r="G62" s="452">
        <f>F62-E62</f>
        <v>28.399999999999977</v>
      </c>
      <c r="H62" s="452">
        <v>6.24</v>
      </c>
      <c r="I62" s="452">
        <f>SUM(I52:I61)</f>
        <v>31.590000000000003</v>
      </c>
      <c r="J62" s="452">
        <f t="shared" si="6"/>
        <v>25.35</v>
      </c>
      <c r="K62" s="452">
        <v>0</v>
      </c>
      <c r="L62" s="452">
        <f>SUM(L52:L61)</f>
        <v>5.8599999999999994</v>
      </c>
      <c r="M62" s="452">
        <f t="shared" si="3"/>
        <v>5.8599999999999994</v>
      </c>
      <c r="N62" s="452">
        <v>37.229999999999997</v>
      </c>
      <c r="O62" s="452">
        <f>SUM(O52:O61)</f>
        <v>1.0499999999999998</v>
      </c>
      <c r="P62" s="452">
        <f t="shared" si="4"/>
        <v>-36.18</v>
      </c>
      <c r="Q62" s="347"/>
      <c r="R62" s="347"/>
      <c r="S62" s="347"/>
      <c r="T62" s="347"/>
      <c r="U62" s="347"/>
      <c r="V62" s="753"/>
      <c r="W62" s="347"/>
      <c r="X62" s="347"/>
      <c r="Y62" s="347"/>
      <c r="Z62" s="347"/>
      <c r="AA62" s="347"/>
      <c r="AB62" s="347"/>
      <c r="AC62" s="347"/>
      <c r="AD62" s="347"/>
      <c r="AE62" s="375"/>
    </row>
    <row r="63" spans="1:31" ht="25.5">
      <c r="A63" s="336">
        <v>5</v>
      </c>
      <c r="B63" s="637" t="s">
        <v>758</v>
      </c>
      <c r="C63" s="337"/>
      <c r="D63" s="206"/>
      <c r="E63" s="337"/>
      <c r="F63" s="337"/>
      <c r="G63" s="337"/>
      <c r="H63" s="337"/>
      <c r="I63" s="337"/>
      <c r="J63" s="337"/>
      <c r="K63" s="337"/>
      <c r="L63" s="337"/>
      <c r="M63" s="337">
        <f t="shared" si="3"/>
        <v>0</v>
      </c>
      <c r="N63" s="337"/>
      <c r="O63" s="337"/>
      <c r="P63" s="337">
        <f t="shared" si="4"/>
        <v>0</v>
      </c>
      <c r="Q63" s="347"/>
      <c r="R63" s="347"/>
      <c r="S63" s="347"/>
      <c r="T63" s="347"/>
      <c r="U63" s="347"/>
      <c r="V63" s="753"/>
      <c r="W63" s="347"/>
      <c r="X63" s="347"/>
      <c r="Y63" s="347"/>
      <c r="Z63" s="347"/>
      <c r="AA63" s="347"/>
      <c r="AB63" s="347"/>
      <c r="AC63" s="347"/>
      <c r="AD63" s="347"/>
      <c r="AE63" s="375"/>
    </row>
    <row r="64" spans="1:31">
      <c r="A64" s="336">
        <v>5.0999999999999996</v>
      </c>
      <c r="B64" s="369" t="s">
        <v>563</v>
      </c>
      <c r="C64" s="337">
        <v>2</v>
      </c>
      <c r="D64" s="206">
        <v>2</v>
      </c>
      <c r="E64" s="337">
        <v>0</v>
      </c>
      <c r="F64" s="337">
        <v>0</v>
      </c>
      <c r="G64" s="337"/>
      <c r="H64" s="337">
        <v>0</v>
      </c>
      <c r="I64" s="337">
        <v>0.5</v>
      </c>
      <c r="J64" s="337">
        <f>I64-H64</f>
        <v>0.5</v>
      </c>
      <c r="K64" s="337">
        <v>0</v>
      </c>
      <c r="L64" s="337">
        <v>0</v>
      </c>
      <c r="M64" s="337">
        <f t="shared" si="3"/>
        <v>0</v>
      </c>
      <c r="N64" s="337">
        <v>0</v>
      </c>
      <c r="O64" s="337">
        <v>0.5</v>
      </c>
      <c r="P64" s="337">
        <f t="shared" si="4"/>
        <v>0.5</v>
      </c>
      <c r="Q64" s="347"/>
      <c r="R64" s="347"/>
      <c r="S64" s="347"/>
      <c r="T64" s="347"/>
      <c r="U64" s="347"/>
      <c r="V64" s="753"/>
      <c r="W64" s="347"/>
      <c r="X64" s="347"/>
      <c r="Y64" s="347"/>
      <c r="Z64" s="347"/>
      <c r="AA64" s="347"/>
      <c r="AB64" s="347"/>
      <c r="AC64" s="347"/>
      <c r="AD64" s="347"/>
      <c r="AE64" s="375"/>
    </row>
    <row r="65" spans="1:31" ht="19.5" customHeight="1">
      <c r="A65" s="336">
        <v>5.2</v>
      </c>
      <c r="B65" s="369" t="s">
        <v>564</v>
      </c>
      <c r="C65" s="337">
        <v>1058</v>
      </c>
      <c r="D65" s="206">
        <v>1264.3399999999999</v>
      </c>
      <c r="E65" s="337">
        <v>883.63</v>
      </c>
      <c r="F65" s="371">
        <f>D65</f>
        <v>1264.3399999999999</v>
      </c>
      <c r="G65" s="371">
        <f>F65-E65</f>
        <v>380.70999999999992</v>
      </c>
      <c r="H65" s="337">
        <v>0</v>
      </c>
      <c r="I65" s="337">
        <v>16.64</v>
      </c>
      <c r="J65" s="337">
        <f>I65-H65</f>
        <v>16.64</v>
      </c>
      <c r="K65" s="337">
        <v>0</v>
      </c>
      <c r="L65" s="337">
        <v>21.55</v>
      </c>
      <c r="M65" s="337">
        <f t="shared" si="3"/>
        <v>21.55</v>
      </c>
      <c r="N65" s="337">
        <v>0</v>
      </c>
      <c r="O65" s="337">
        <v>-38.19</v>
      </c>
      <c r="P65" s="337">
        <f t="shared" si="4"/>
        <v>-38.19</v>
      </c>
      <c r="Q65" s="347"/>
      <c r="R65" s="347"/>
      <c r="S65" s="347"/>
      <c r="T65" s="347"/>
      <c r="U65" s="347"/>
      <c r="V65" s="753"/>
      <c r="W65" s="347"/>
      <c r="X65" s="347"/>
      <c r="Y65" s="347"/>
      <c r="Z65" s="347"/>
      <c r="AA65" s="347"/>
      <c r="AB65" s="347"/>
      <c r="AC65" s="347"/>
      <c r="AD65" s="347"/>
      <c r="AE65" s="375"/>
    </row>
    <row r="66" spans="1:31">
      <c r="A66" s="211"/>
      <c r="B66" s="369" t="s">
        <v>511</v>
      </c>
      <c r="C66" s="452">
        <f>C64+C65</f>
        <v>1060</v>
      </c>
      <c r="D66" s="206">
        <f>D64+D65</f>
        <v>1266.3399999999999</v>
      </c>
      <c r="E66" s="452">
        <f t="shared" ref="E66:O66" si="8">E64+E65</f>
        <v>883.63</v>
      </c>
      <c r="F66" s="452">
        <f t="shared" si="8"/>
        <v>1264.3399999999999</v>
      </c>
      <c r="G66" s="206"/>
      <c r="H66" s="452">
        <f t="shared" si="8"/>
        <v>0</v>
      </c>
      <c r="I66" s="452">
        <f t="shared" si="8"/>
        <v>17.14</v>
      </c>
      <c r="J66" s="452">
        <f>I66-H66</f>
        <v>17.14</v>
      </c>
      <c r="K66" s="452">
        <f t="shared" si="8"/>
        <v>0</v>
      </c>
      <c r="L66" s="452">
        <f t="shared" si="8"/>
        <v>21.55</v>
      </c>
      <c r="M66" s="452">
        <f t="shared" si="3"/>
        <v>21.55</v>
      </c>
      <c r="N66" s="452">
        <f t="shared" si="8"/>
        <v>0</v>
      </c>
      <c r="O66" s="452">
        <f t="shared" si="8"/>
        <v>-37.69</v>
      </c>
      <c r="P66" s="452">
        <f t="shared" si="4"/>
        <v>-37.69</v>
      </c>
      <c r="Q66" s="347"/>
      <c r="R66" s="347"/>
      <c r="S66" s="347"/>
      <c r="T66" s="347"/>
      <c r="U66" s="347"/>
      <c r="V66" s="753"/>
      <c r="W66" s="347"/>
      <c r="X66" s="347"/>
      <c r="Y66" s="347"/>
      <c r="Z66" s="347"/>
      <c r="AA66" s="347"/>
      <c r="AB66" s="347"/>
      <c r="AC66" s="347"/>
      <c r="AD66" s="347"/>
      <c r="AE66" s="375"/>
    </row>
    <row r="67" spans="1:31">
      <c r="A67" s="336"/>
      <c r="B67" s="369"/>
      <c r="C67" s="369"/>
      <c r="D67" s="369"/>
      <c r="E67" s="369"/>
      <c r="F67" s="369"/>
      <c r="G67" s="347"/>
      <c r="H67" s="369"/>
      <c r="I67" s="369"/>
      <c r="J67" s="369"/>
      <c r="K67" s="369"/>
      <c r="L67" s="369"/>
      <c r="M67" s="369">
        <f t="shared" si="3"/>
        <v>0</v>
      </c>
      <c r="N67" s="369"/>
      <c r="O67" s="369"/>
      <c r="P67" s="369">
        <f t="shared" si="4"/>
        <v>0</v>
      </c>
      <c r="Q67" s="347"/>
      <c r="R67" s="347"/>
      <c r="S67" s="347"/>
      <c r="T67" s="347"/>
      <c r="U67" s="347"/>
      <c r="V67" s="753"/>
      <c r="W67" s="347"/>
      <c r="X67" s="347"/>
      <c r="Y67" s="347"/>
      <c r="Z67" s="347"/>
      <c r="AA67" s="347"/>
      <c r="AB67" s="347"/>
      <c r="AC67" s="347"/>
      <c r="AD67" s="347"/>
      <c r="AE67" s="375"/>
    </row>
    <row r="68" spans="1:31" ht="24.75" thickBot="1">
      <c r="A68" s="466">
        <v>5</v>
      </c>
      <c r="B68" s="467" t="s">
        <v>566</v>
      </c>
      <c r="C68" s="468">
        <f>C22+C30+C50+C62+C66</f>
        <v>8250</v>
      </c>
      <c r="D68" s="468">
        <f>D22+D30+D50+D62+D66</f>
        <v>8540.2199999999993</v>
      </c>
      <c r="E68" s="468">
        <f t="shared" ref="E68:N68" si="9">E22+E30+E50+E62+E66</f>
        <v>7149.52</v>
      </c>
      <c r="F68" s="468">
        <f t="shared" si="9"/>
        <v>7558.63</v>
      </c>
      <c r="G68" s="767">
        <f>F68-E68</f>
        <v>409.10999999999967</v>
      </c>
      <c r="H68" s="468">
        <f t="shared" si="9"/>
        <v>124.85</v>
      </c>
      <c r="I68" s="468">
        <f t="shared" si="9"/>
        <v>72.53</v>
      </c>
      <c r="J68" s="468">
        <f t="shared" si="9"/>
        <v>-52.320000000000007</v>
      </c>
      <c r="K68" s="468">
        <f t="shared" si="9"/>
        <v>0</v>
      </c>
      <c r="L68" s="468">
        <f>L22+L30+L50+L62+L66</f>
        <v>191.2</v>
      </c>
      <c r="M68" s="468">
        <f t="shared" si="3"/>
        <v>191.2</v>
      </c>
      <c r="N68" s="468">
        <f t="shared" si="9"/>
        <v>744.68999999999994</v>
      </c>
      <c r="O68" s="468">
        <f>O22+O30+O50+O62+O66</f>
        <v>761.61999999999989</v>
      </c>
      <c r="P68" s="468">
        <f t="shared" si="4"/>
        <v>16.92999999999995</v>
      </c>
      <c r="Q68" s="379"/>
      <c r="R68" s="379"/>
      <c r="S68" s="379"/>
      <c r="T68" s="379"/>
      <c r="U68" s="379"/>
      <c r="V68" s="379"/>
      <c r="W68" s="379"/>
      <c r="X68" s="379"/>
      <c r="Y68" s="379"/>
      <c r="Z68" s="379"/>
      <c r="AA68" s="379"/>
      <c r="AB68" s="379"/>
      <c r="AC68" s="379"/>
      <c r="AD68" s="379"/>
      <c r="AE68" s="769"/>
    </row>
    <row r="69" spans="1:31">
      <c r="A69" s="213"/>
      <c r="B69" s="207" t="s">
        <v>762</v>
      </c>
      <c r="C69" s="207"/>
      <c r="E69" s="207">
        <f>-H91</f>
        <v>-448.54</v>
      </c>
      <c r="F69" s="207">
        <f>E69</f>
        <v>-448.54</v>
      </c>
      <c r="G69" s="207"/>
      <c r="H69" s="207"/>
      <c r="I69" s="207"/>
      <c r="J69" s="207"/>
      <c r="K69" s="207"/>
      <c r="L69" s="207"/>
      <c r="M69" s="207"/>
      <c r="N69" s="207"/>
      <c r="O69" s="207"/>
      <c r="W69" s="195"/>
    </row>
    <row r="70" spans="1:31">
      <c r="A70" s="213"/>
      <c r="B70" s="207" t="s">
        <v>1013</v>
      </c>
      <c r="C70" s="207"/>
      <c r="E70" s="207">
        <f>H92</f>
        <v>4.7300000000000004</v>
      </c>
      <c r="F70" s="207">
        <f>E70</f>
        <v>4.7300000000000004</v>
      </c>
      <c r="G70" s="207"/>
      <c r="H70" s="207"/>
      <c r="I70" s="207"/>
      <c r="J70" s="207"/>
      <c r="K70" s="207"/>
      <c r="L70" s="207"/>
      <c r="M70" s="207"/>
      <c r="N70" s="207"/>
      <c r="O70" s="207"/>
      <c r="AE70" s="207"/>
    </row>
    <row r="71" spans="1:31">
      <c r="A71" s="213"/>
      <c r="B71" s="207" t="s">
        <v>458</v>
      </c>
      <c r="C71" s="207"/>
      <c r="E71" s="630">
        <f>E68+E69+E70</f>
        <v>6705.71</v>
      </c>
      <c r="F71" s="630">
        <f>F68+F69+F70</f>
        <v>7114.82</v>
      </c>
      <c r="G71" s="207"/>
      <c r="H71" s="207"/>
      <c r="I71" s="207"/>
      <c r="J71" s="207"/>
      <c r="K71" s="207"/>
      <c r="L71" s="207"/>
      <c r="M71" s="207"/>
      <c r="N71" s="207"/>
      <c r="O71" s="207"/>
      <c r="AE71" s="630"/>
    </row>
    <row r="72" spans="1:31">
      <c r="A72" s="213"/>
      <c r="B72" s="207"/>
      <c r="C72" s="207"/>
      <c r="E72" s="630"/>
      <c r="F72" s="630"/>
      <c r="G72" s="207"/>
      <c r="H72" s="207"/>
      <c r="I72" s="207"/>
      <c r="J72" s="207"/>
      <c r="K72" s="207"/>
      <c r="L72" s="207"/>
      <c r="M72" s="207"/>
      <c r="N72" s="207"/>
      <c r="O72" s="207"/>
      <c r="AE72" s="630"/>
    </row>
    <row r="73" spans="1:31">
      <c r="A73" s="213"/>
      <c r="B73" s="207" t="s">
        <v>778</v>
      </c>
      <c r="C73" s="207"/>
      <c r="E73" s="630"/>
      <c r="F73" s="630"/>
      <c r="G73" s="207"/>
      <c r="H73" s="207"/>
      <c r="I73" s="207"/>
      <c r="J73" s="207"/>
      <c r="K73" s="207"/>
      <c r="L73" s="207"/>
      <c r="M73" s="207"/>
      <c r="N73" s="207"/>
      <c r="O73" s="630"/>
      <c r="AE73" s="630"/>
    </row>
    <row r="74" spans="1:31">
      <c r="A74" s="213"/>
      <c r="B74" s="207" t="s">
        <v>863</v>
      </c>
      <c r="C74" s="207"/>
      <c r="D74" s="207"/>
      <c r="E74" s="207"/>
      <c r="F74" s="207"/>
      <c r="G74" s="207"/>
      <c r="H74" s="207"/>
      <c r="I74" s="207"/>
      <c r="J74" s="207"/>
      <c r="K74" s="207"/>
      <c r="L74" s="207"/>
      <c r="M74" s="207"/>
      <c r="N74" s="207"/>
      <c r="O74" s="630"/>
      <c r="AE74" s="634"/>
    </row>
    <row r="75" spans="1:31">
      <c r="A75" s="478"/>
      <c r="B75" s="207"/>
      <c r="C75" s="207"/>
      <c r="D75" s="207"/>
      <c r="E75" s="207"/>
      <c r="F75" s="207"/>
      <c r="G75" s="207"/>
      <c r="H75" s="207"/>
      <c r="I75" s="207"/>
      <c r="J75" s="207"/>
      <c r="K75" s="207"/>
      <c r="L75" s="207"/>
      <c r="M75" s="207"/>
      <c r="N75" s="207"/>
      <c r="O75" s="630"/>
      <c r="AE75" s="634"/>
    </row>
    <row r="76" spans="1:31" ht="57" hidden="1" customHeight="1">
      <c r="A76" s="1512"/>
      <c r="B76" s="385" t="s">
        <v>567</v>
      </c>
      <c r="C76" s="634"/>
      <c r="D76" s="634"/>
      <c r="E76" s="634"/>
      <c r="F76" s="634"/>
      <c r="G76" s="634"/>
      <c r="H76" s="634"/>
      <c r="I76" s="634"/>
      <c r="J76" s="634"/>
      <c r="K76" s="634"/>
      <c r="L76" s="634"/>
      <c r="M76" s="634"/>
      <c r="N76" s="634"/>
      <c r="O76" s="634"/>
      <c r="S76" s="370"/>
      <c r="V76" s="198"/>
      <c r="AE76" s="216"/>
    </row>
    <row r="77" spans="1:31" ht="14.45" hidden="1" customHeight="1">
      <c r="A77" s="1512"/>
      <c r="B77" s="634" t="s">
        <v>752</v>
      </c>
      <c r="C77" s="634"/>
      <c r="D77" s="634"/>
      <c r="E77" s="634"/>
      <c r="F77" s="634"/>
      <c r="G77" s="634"/>
      <c r="H77" s="634"/>
      <c r="I77" s="634"/>
      <c r="J77" s="634"/>
      <c r="K77" s="634"/>
      <c r="L77" s="634"/>
      <c r="M77" s="634"/>
      <c r="N77" s="634"/>
      <c r="O77" s="634"/>
      <c r="V77" s="198"/>
      <c r="AE77" s="198"/>
    </row>
    <row r="78" spans="1:31" ht="57" hidden="1">
      <c r="A78" s="478"/>
      <c r="B78" s="634" t="s">
        <v>568</v>
      </c>
      <c r="C78" s="215"/>
      <c r="D78" s="215"/>
      <c r="E78" s="215"/>
      <c r="F78" s="215"/>
      <c r="G78" s="215"/>
      <c r="H78" s="215"/>
      <c r="I78" s="215"/>
      <c r="J78" s="215"/>
      <c r="K78" s="215"/>
      <c r="L78" s="215"/>
      <c r="M78" s="215"/>
      <c r="N78" s="215"/>
      <c r="O78" s="215"/>
      <c r="V78" s="198"/>
      <c r="AE78" s="198"/>
    </row>
    <row r="79" spans="1:31" hidden="1">
      <c r="A79" s="196"/>
      <c r="S79" s="370"/>
      <c r="V79" s="198"/>
      <c r="AE79" s="198"/>
    </row>
    <row r="81" spans="2:31">
      <c r="AE81" s="207"/>
    </row>
    <row r="84" spans="2:31" ht="28.9" customHeight="1">
      <c r="C84" s="399">
        <f>F68</f>
        <v>7558.63</v>
      </c>
      <c r="F84" s="370"/>
      <c r="G84" s="370"/>
    </row>
    <row r="85" spans="2:31" ht="30">
      <c r="B85" s="398" t="s">
        <v>781</v>
      </c>
      <c r="C85" s="392"/>
      <c r="O85" s="370"/>
      <c r="P85" s="370"/>
    </row>
    <row r="86" spans="2:31" ht="23.45" customHeight="1">
      <c r="B86" s="392" t="s">
        <v>780</v>
      </c>
      <c r="C86" s="394">
        <v>245.31</v>
      </c>
      <c r="F86" s="370"/>
      <c r="G86" s="370"/>
      <c r="H86" s="1941" t="s">
        <v>776</v>
      </c>
      <c r="I86" s="1941"/>
      <c r="J86" s="1941"/>
      <c r="K86" s="1941"/>
      <c r="L86" s="1941"/>
      <c r="M86" s="1941"/>
      <c r="N86" s="1941"/>
    </row>
    <row r="87" spans="2:31" ht="21.6" customHeight="1">
      <c r="B87" s="393" t="s">
        <v>778</v>
      </c>
      <c r="C87" s="394">
        <v>80.739999999999995</v>
      </c>
      <c r="H87" s="373" t="s">
        <v>858</v>
      </c>
      <c r="I87" s="373"/>
      <c r="J87" s="373"/>
      <c r="K87" s="373"/>
      <c r="L87" s="373"/>
      <c r="M87" s="373"/>
      <c r="N87" s="373"/>
    </row>
    <row r="88" spans="2:31" ht="14.45" customHeight="1">
      <c r="B88" s="393" t="s">
        <v>779</v>
      </c>
      <c r="C88" s="397">
        <f>SUM(C86:C87)</f>
        <v>326.05</v>
      </c>
      <c r="F88" s="363" t="s">
        <v>768</v>
      </c>
      <c r="G88" s="363"/>
      <c r="H88" s="363" t="s">
        <v>775</v>
      </c>
      <c r="I88" s="363" t="s">
        <v>777</v>
      </c>
      <c r="J88" s="363"/>
      <c r="K88" s="388" t="s">
        <v>775</v>
      </c>
      <c r="L88" s="388" t="s">
        <v>777</v>
      </c>
      <c r="M88" s="388"/>
      <c r="N88" s="388" t="s">
        <v>775</v>
      </c>
      <c r="O88" s="388" t="s">
        <v>777</v>
      </c>
      <c r="P88" s="388"/>
    </row>
    <row r="89" spans="2:31" ht="13.9" customHeight="1">
      <c r="B89" s="396" t="s">
        <v>511</v>
      </c>
      <c r="F89" s="389" t="s">
        <v>773</v>
      </c>
      <c r="G89" s="389"/>
      <c r="H89" s="390">
        <f>E68</f>
        <v>7149.52</v>
      </c>
      <c r="I89" s="388"/>
      <c r="J89" s="388"/>
      <c r="K89" s="390">
        <f>H93</f>
        <v>6705.71</v>
      </c>
      <c r="L89" s="388"/>
      <c r="M89" s="388"/>
      <c r="N89" s="390">
        <f>K93</f>
        <v>6830.56</v>
      </c>
      <c r="O89" s="388"/>
      <c r="P89" s="388"/>
    </row>
    <row r="90" spans="2:31" ht="47.25">
      <c r="C90" s="395">
        <f>C84+C88</f>
        <v>7884.68</v>
      </c>
      <c r="F90" s="389" t="s">
        <v>771</v>
      </c>
      <c r="G90" s="389"/>
      <c r="H90" s="388">
        <v>0</v>
      </c>
      <c r="I90" s="388"/>
      <c r="J90" s="388"/>
      <c r="K90" s="390">
        <f>H68</f>
        <v>124.85</v>
      </c>
      <c r="L90" s="388"/>
      <c r="M90" s="388"/>
      <c r="N90" s="390">
        <f>K68</f>
        <v>0</v>
      </c>
      <c r="O90" s="388"/>
      <c r="P90" s="388"/>
    </row>
    <row r="91" spans="2:31" ht="60">
      <c r="B91" s="391" t="s">
        <v>782</v>
      </c>
      <c r="F91" s="389" t="s">
        <v>762</v>
      </c>
      <c r="G91" s="389"/>
      <c r="H91" s="388">
        <f>AH32+AH33+AH34</f>
        <v>448.54</v>
      </c>
      <c r="I91" s="388"/>
      <c r="J91" s="388"/>
      <c r="K91" s="388">
        <v>0</v>
      </c>
      <c r="L91" s="388"/>
      <c r="M91" s="388"/>
      <c r="N91" s="388">
        <v>0</v>
      </c>
      <c r="O91" s="388"/>
      <c r="P91" s="388"/>
    </row>
    <row r="92" spans="2:31" ht="31.5">
      <c r="F92" s="389" t="s">
        <v>770</v>
      </c>
      <c r="G92" s="389"/>
      <c r="H92" s="388">
        <v>4.7300000000000004</v>
      </c>
      <c r="I92" s="388"/>
      <c r="J92" s="388"/>
      <c r="K92" s="388">
        <v>0</v>
      </c>
      <c r="L92" s="388"/>
      <c r="M92" s="388"/>
      <c r="N92" s="388">
        <v>0</v>
      </c>
      <c r="O92" s="388"/>
      <c r="P92" s="388"/>
    </row>
    <row r="93" spans="2:31" ht="47.25">
      <c r="F93" s="389" t="s">
        <v>772</v>
      </c>
      <c r="G93" s="389"/>
      <c r="H93" s="390">
        <f>H89+H90-H91+H92</f>
        <v>6705.71</v>
      </c>
      <c r="I93" s="388"/>
      <c r="J93" s="388"/>
      <c r="K93" s="390">
        <f>K89+K90-K91+K92</f>
        <v>6830.56</v>
      </c>
      <c r="L93" s="388"/>
      <c r="M93" s="388"/>
      <c r="N93" s="390">
        <f>N89+N90-N91+N92</f>
        <v>6830.56</v>
      </c>
      <c r="O93" s="388"/>
      <c r="P93" s="388"/>
      <c r="S93" s="370"/>
    </row>
    <row r="96" spans="2:31">
      <c r="S96" s="370"/>
    </row>
    <row r="98" spans="6:13" ht="21.6" customHeight="1">
      <c r="F98" s="1935" t="s">
        <v>787</v>
      </c>
      <c r="G98" s="1935"/>
      <c r="H98" s="1935"/>
      <c r="I98" s="1935"/>
      <c r="J98" s="1935"/>
      <c r="K98" s="1935"/>
      <c r="L98" s="1935"/>
      <c r="M98" s="624"/>
    </row>
    <row r="99" spans="6:13" ht="19.899999999999999" customHeight="1"/>
    <row r="100" spans="6:13" ht="19.899999999999999" customHeight="1"/>
    <row r="101" spans="6:13" ht="60">
      <c r="F101" s="388"/>
      <c r="G101" s="388"/>
      <c r="H101" s="403" t="s">
        <v>785</v>
      </c>
      <c r="I101" s="403" t="s">
        <v>784</v>
      </c>
      <c r="J101" s="403"/>
      <c r="K101" s="403" t="s">
        <v>786</v>
      </c>
      <c r="L101" s="403" t="s">
        <v>783</v>
      </c>
      <c r="M101" s="632"/>
    </row>
    <row r="102" spans="6:13">
      <c r="F102" s="363" t="s">
        <v>418</v>
      </c>
      <c r="G102" s="363"/>
      <c r="H102" s="404">
        <v>7884.68</v>
      </c>
      <c r="I102" s="404">
        <f>F68</f>
        <v>7558.63</v>
      </c>
      <c r="J102" s="404"/>
      <c r="K102" s="404">
        <f>7771.63/2</f>
        <v>3885.8150000000001</v>
      </c>
      <c r="L102" s="404">
        <f>I102/H102*K102</f>
        <v>3725.1274412468229</v>
      </c>
      <c r="M102" s="633"/>
    </row>
    <row r="112" spans="6:13" ht="17.45" customHeight="1"/>
    <row r="116" ht="21.6" customHeight="1"/>
    <row r="117" ht="22.15" customHeight="1"/>
    <row r="118" ht="19.899999999999999" customHeight="1"/>
  </sheetData>
  <mergeCells count="26">
    <mergeCell ref="N3:P3"/>
    <mergeCell ref="A5:P5"/>
    <mergeCell ref="A7:B7"/>
    <mergeCell ref="C7:P7"/>
    <mergeCell ref="A8:B8"/>
    <mergeCell ref="C8:P8"/>
    <mergeCell ref="AG29:AK29"/>
    <mergeCell ref="H86:N86"/>
    <mergeCell ref="A76:A77"/>
    <mergeCell ref="S10:T10"/>
    <mergeCell ref="E11:P11"/>
    <mergeCell ref="A10:A11"/>
    <mergeCell ref="B10:B11"/>
    <mergeCell ref="Q14:S14"/>
    <mergeCell ref="T14:V14"/>
    <mergeCell ref="W14:Y14"/>
    <mergeCell ref="Z14:AB14"/>
    <mergeCell ref="AC14:AE14"/>
    <mergeCell ref="AG15:AK15"/>
    <mergeCell ref="F98:L98"/>
    <mergeCell ref="C10:P10"/>
    <mergeCell ref="E14:G14"/>
    <mergeCell ref="E12:G12"/>
    <mergeCell ref="H14:J14"/>
    <mergeCell ref="K14:M14"/>
    <mergeCell ref="N14:P14"/>
  </mergeCells>
  <pageMargins left="0.7" right="0.7" top="0.75" bottom="0.75" header="0.3" footer="0.3"/>
  <pageSetup paperSize="9" scale="38" fitToHeight="2" orientation="landscape" horizontalDpi="4294967293" r:id="rId1"/>
</worksheet>
</file>

<file path=xl/worksheets/sheet43.xml><?xml version="1.0" encoding="utf-8"?>
<worksheet xmlns="http://schemas.openxmlformats.org/spreadsheetml/2006/main" xmlns:r="http://schemas.openxmlformats.org/officeDocument/2006/relationships">
  <sheetPr>
    <pageSetUpPr fitToPage="1"/>
  </sheetPr>
  <dimension ref="A1:O92"/>
  <sheetViews>
    <sheetView topLeftCell="A37" zoomScale="134" zoomScaleNormal="134" workbookViewId="0">
      <selection activeCell="C39" sqref="C39"/>
    </sheetView>
  </sheetViews>
  <sheetFormatPr defaultColWidth="9.33203125" defaultRowHeight="15"/>
  <cols>
    <col min="1" max="1" width="6.5" style="190" customWidth="1"/>
    <col min="2" max="2" width="18.83203125" style="190" customWidth="1"/>
    <col min="3" max="3" width="18" style="190" customWidth="1"/>
    <col min="4" max="4" width="11.6640625" style="344" customWidth="1"/>
    <col min="5" max="5" width="10.1640625" style="190" customWidth="1"/>
    <col min="6" max="6" width="8.5" style="190" customWidth="1"/>
    <col min="7" max="7" width="10.5" style="190" customWidth="1"/>
    <col min="8" max="8" width="11.5" style="190" customWidth="1"/>
    <col min="9" max="9" width="12.83203125" style="190" customWidth="1"/>
    <col min="10" max="10" width="13.5" style="190" customWidth="1"/>
    <col min="11" max="16384" width="9.33203125" style="190"/>
  </cols>
  <sheetData>
    <row r="1" spans="1:15" ht="15.75" thickBot="1"/>
    <row r="2" spans="1:15">
      <c r="A2" s="194"/>
      <c r="B2" s="195"/>
      <c r="C2" s="195"/>
      <c r="D2" s="352"/>
      <c r="E2" s="195"/>
      <c r="F2" s="195"/>
      <c r="G2" s="195"/>
      <c r="H2" s="195"/>
      <c r="I2" s="195"/>
      <c r="J2" s="217" t="s">
        <v>414</v>
      </c>
    </row>
    <row r="3" spans="1:15" ht="15.75">
      <c r="A3" s="196"/>
      <c r="J3" s="219" t="s">
        <v>570</v>
      </c>
    </row>
    <row r="4" spans="1:15">
      <c r="A4" s="196"/>
      <c r="J4" s="198"/>
    </row>
    <row r="5" spans="1:15" ht="18">
      <c r="A5" s="1565" t="s">
        <v>569</v>
      </c>
      <c r="B5" s="1574"/>
      <c r="C5" s="1574"/>
      <c r="D5" s="1574"/>
      <c r="E5" s="1574"/>
      <c r="F5" s="1574"/>
      <c r="G5" s="1574"/>
      <c r="H5" s="1574"/>
      <c r="I5" s="1574"/>
      <c r="J5" s="1948"/>
    </row>
    <row r="6" spans="1:15">
      <c r="A6" s="208"/>
      <c r="B6" s="200"/>
      <c r="C6" s="200"/>
      <c r="D6" s="200"/>
      <c r="E6" s="200"/>
      <c r="F6" s="200"/>
      <c r="G6" s="200"/>
      <c r="H6" s="200"/>
      <c r="I6" s="200"/>
      <c r="J6" s="209"/>
    </row>
    <row r="7" spans="1:15" ht="19.899999999999999" customHeight="1">
      <c r="A7" s="1949" t="s">
        <v>498</v>
      </c>
      <c r="B7" s="1950"/>
      <c r="C7" s="1570" t="s">
        <v>464</v>
      </c>
      <c r="D7" s="1570"/>
      <c r="E7" s="1570"/>
      <c r="F7" s="1570"/>
      <c r="G7" s="1570"/>
      <c r="H7" s="233"/>
      <c r="I7" s="233"/>
      <c r="J7" s="490"/>
    </row>
    <row r="8" spans="1:15" ht="16.899999999999999" customHeight="1">
      <c r="A8" s="1949" t="s">
        <v>499</v>
      </c>
      <c r="B8" s="1950"/>
      <c r="C8" s="1570" t="s">
        <v>461</v>
      </c>
      <c r="D8" s="1570"/>
      <c r="E8" s="1570"/>
      <c r="F8" s="1570"/>
      <c r="G8" s="1570"/>
      <c r="H8" s="233"/>
      <c r="I8" s="233"/>
      <c r="J8" s="490"/>
    </row>
    <row r="9" spans="1:15" ht="19.5" customHeight="1">
      <c r="A9" s="210"/>
      <c r="B9" s="192"/>
      <c r="C9" s="192"/>
      <c r="D9" s="335"/>
      <c r="E9" s="335"/>
      <c r="F9" s="335"/>
      <c r="G9" s="335"/>
      <c r="H9" s="335"/>
      <c r="I9" s="335"/>
      <c r="J9" s="623" t="s">
        <v>504</v>
      </c>
    </row>
    <row r="10" spans="1:15" ht="31.15" customHeight="1">
      <c r="A10" s="1571" t="s">
        <v>417</v>
      </c>
      <c r="B10" s="1520" t="s">
        <v>500</v>
      </c>
      <c r="C10" s="1579" t="s">
        <v>751</v>
      </c>
      <c r="D10" s="1579" t="s">
        <v>814</v>
      </c>
      <c r="E10" s="1579" t="s">
        <v>815</v>
      </c>
      <c r="F10" s="1585" t="s">
        <v>749</v>
      </c>
      <c r="G10" s="1579" t="s">
        <v>837</v>
      </c>
      <c r="H10" s="1585" t="s">
        <v>750</v>
      </c>
      <c r="I10" s="1579" t="s">
        <v>838</v>
      </c>
      <c r="J10" s="1587" t="s">
        <v>747</v>
      </c>
      <c r="N10" s="1573"/>
      <c r="O10" s="1573"/>
    </row>
    <row r="11" spans="1:15" ht="90.6" customHeight="1">
      <c r="A11" s="1571"/>
      <c r="B11" s="1520"/>
      <c r="C11" s="1580"/>
      <c r="D11" s="1580"/>
      <c r="E11" s="1580"/>
      <c r="F11" s="1586"/>
      <c r="G11" s="1580"/>
      <c r="H11" s="1586"/>
      <c r="I11" s="1580"/>
      <c r="J11" s="1588"/>
    </row>
    <row r="12" spans="1:15">
      <c r="A12" s="220">
        <v>-1</v>
      </c>
      <c r="B12" s="332">
        <v>-2</v>
      </c>
      <c r="C12" s="220">
        <v>-3</v>
      </c>
      <c r="D12" s="332">
        <v>-4</v>
      </c>
      <c r="E12" s="220">
        <v>-5</v>
      </c>
      <c r="F12" s="332">
        <v>-6</v>
      </c>
      <c r="G12" s="220">
        <v>-7</v>
      </c>
      <c r="H12" s="332">
        <v>-8</v>
      </c>
      <c r="I12" s="220">
        <v>-9</v>
      </c>
      <c r="J12" s="332">
        <v>-10</v>
      </c>
    </row>
    <row r="13" spans="1:15">
      <c r="A13" s="211">
        <v>1</v>
      </c>
      <c r="B13" s="222" t="s">
        <v>505</v>
      </c>
      <c r="C13" s="222"/>
      <c r="D13" s="353"/>
      <c r="E13" s="222"/>
      <c r="F13" s="359"/>
      <c r="G13" s="359"/>
      <c r="H13" s="359"/>
      <c r="I13" s="359"/>
      <c r="J13" s="223"/>
    </row>
    <row r="14" spans="1:15" ht="14.45" customHeight="1">
      <c r="A14" s="336">
        <v>1.1000000000000001</v>
      </c>
      <c r="B14" s="369" t="s">
        <v>506</v>
      </c>
      <c r="C14" s="369">
        <v>2985.56</v>
      </c>
      <c r="D14" s="443"/>
      <c r="E14" s="333"/>
      <c r="F14" s="360"/>
      <c r="G14" s="360"/>
      <c r="H14" s="360"/>
      <c r="I14" s="360"/>
      <c r="J14" s="334"/>
    </row>
    <row r="15" spans="1:15">
      <c r="A15" s="336">
        <v>1.2</v>
      </c>
      <c r="B15" s="369" t="s">
        <v>508</v>
      </c>
      <c r="C15" s="369">
        <v>388.03</v>
      </c>
      <c r="D15" s="443"/>
      <c r="E15" s="443"/>
      <c r="F15" s="361"/>
      <c r="G15" s="361"/>
      <c r="H15" s="361"/>
      <c r="I15" s="361"/>
      <c r="J15" s="334"/>
    </row>
    <row r="16" spans="1:15">
      <c r="A16" s="336">
        <v>1.3</v>
      </c>
      <c r="B16" s="369" t="s">
        <v>509</v>
      </c>
      <c r="C16" s="369">
        <v>75.7</v>
      </c>
      <c r="D16" s="443"/>
      <c r="E16" s="443"/>
      <c r="F16" s="361"/>
      <c r="G16" s="361"/>
      <c r="H16" s="361"/>
      <c r="I16" s="361"/>
      <c r="J16" s="445"/>
    </row>
    <row r="17" spans="1:10">
      <c r="A17" s="336">
        <v>1.4</v>
      </c>
      <c r="B17" s="369" t="s">
        <v>510</v>
      </c>
      <c r="C17" s="369">
        <v>610</v>
      </c>
      <c r="D17" s="443"/>
      <c r="E17" s="443"/>
      <c r="F17" s="361"/>
      <c r="G17" s="361"/>
      <c r="H17" s="361"/>
      <c r="I17" s="361"/>
      <c r="J17" s="334"/>
    </row>
    <row r="18" spans="1:10">
      <c r="A18" s="336">
        <v>1.5</v>
      </c>
      <c r="B18" s="369" t="s">
        <v>511</v>
      </c>
      <c r="C18" s="369">
        <f>SUM(C14:C17)</f>
        <v>4059.29</v>
      </c>
      <c r="D18" s="443"/>
      <c r="E18" s="443"/>
      <c r="F18" s="361"/>
      <c r="G18" s="361"/>
      <c r="H18" s="361"/>
      <c r="I18" s="361"/>
      <c r="J18" s="334"/>
    </row>
    <row r="19" spans="1:10">
      <c r="A19" s="336">
        <v>1.6</v>
      </c>
      <c r="B19" s="369" t="s">
        <v>512</v>
      </c>
      <c r="C19" s="369">
        <v>775</v>
      </c>
      <c r="D19" s="443"/>
      <c r="E19" s="443"/>
      <c r="F19" s="361"/>
      <c r="G19" s="361"/>
      <c r="H19" s="361"/>
      <c r="I19" s="361"/>
      <c r="J19" s="334"/>
    </row>
    <row r="20" spans="1:10" ht="24">
      <c r="A20" s="336">
        <v>1.7</v>
      </c>
      <c r="B20" s="369" t="s">
        <v>513</v>
      </c>
      <c r="C20" s="369">
        <v>100.21</v>
      </c>
      <c r="D20" s="443"/>
      <c r="E20" s="443"/>
      <c r="F20" s="361"/>
      <c r="G20" s="361"/>
      <c r="H20" s="361"/>
      <c r="I20" s="361"/>
      <c r="J20" s="334"/>
    </row>
    <row r="21" spans="1:10">
      <c r="A21" s="211">
        <v>1.8</v>
      </c>
      <c r="B21" s="333" t="s">
        <v>514</v>
      </c>
      <c r="C21" s="333">
        <f>C18+C19+C20</f>
        <v>4934.5</v>
      </c>
      <c r="D21" s="442">
        <v>4749.95</v>
      </c>
      <c r="E21" s="442">
        <v>4781.54</v>
      </c>
      <c r="F21" s="441">
        <f>G21-E21</f>
        <v>-9.3999999999996362</v>
      </c>
      <c r="G21" s="441">
        <v>4772.1400000000003</v>
      </c>
      <c r="H21" s="441">
        <f>I21-G21</f>
        <v>0</v>
      </c>
      <c r="I21" s="441">
        <v>4772.1400000000003</v>
      </c>
      <c r="J21" s="212">
        <f>C21-E21-F21-H21</f>
        <v>162.35999999999967</v>
      </c>
    </row>
    <row r="22" spans="1:10">
      <c r="A22" s="211">
        <v>2</v>
      </c>
      <c r="B22" s="224" t="s">
        <v>515</v>
      </c>
      <c r="C22" s="225"/>
      <c r="D22" s="354"/>
      <c r="E22" s="225"/>
      <c r="F22" s="225"/>
      <c r="G22" s="225"/>
      <c r="H22" s="225"/>
      <c r="I22" s="225"/>
      <c r="J22" s="226"/>
    </row>
    <row r="23" spans="1:10" ht="22.9" customHeight="1">
      <c r="A23" s="336">
        <v>2.1</v>
      </c>
      <c r="B23" s="369" t="s">
        <v>516</v>
      </c>
      <c r="C23" s="369">
        <v>490</v>
      </c>
      <c r="D23" s="443"/>
      <c r="E23" s="443"/>
      <c r="F23" s="361"/>
      <c r="G23" s="361"/>
      <c r="H23" s="361"/>
      <c r="I23" s="361"/>
      <c r="J23" s="334"/>
    </row>
    <row r="24" spans="1:10">
      <c r="A24" s="336">
        <v>2.2000000000000002</v>
      </c>
      <c r="B24" s="369" t="s">
        <v>518</v>
      </c>
      <c r="C24" s="369">
        <v>340</v>
      </c>
      <c r="D24" s="443"/>
      <c r="E24" s="443"/>
      <c r="F24" s="361"/>
      <c r="G24" s="361"/>
      <c r="H24" s="361"/>
      <c r="I24" s="361"/>
      <c r="J24" s="334"/>
    </row>
    <row r="25" spans="1:10">
      <c r="A25" s="336">
        <v>2.2999999999999998</v>
      </c>
      <c r="B25" s="369" t="s">
        <v>519</v>
      </c>
      <c r="C25" s="369">
        <v>140</v>
      </c>
      <c r="D25" s="443"/>
      <c r="E25" s="443"/>
      <c r="F25" s="361"/>
      <c r="G25" s="361"/>
      <c r="H25" s="361"/>
      <c r="I25" s="361"/>
      <c r="J25" s="334"/>
    </row>
    <row r="26" spans="1:10">
      <c r="A26" s="336">
        <v>2.4</v>
      </c>
      <c r="B26" s="369" t="s">
        <v>520</v>
      </c>
      <c r="C26" s="369">
        <v>3</v>
      </c>
      <c r="D26" s="443"/>
      <c r="E26" s="443"/>
      <c r="F26" s="361"/>
      <c r="G26" s="361"/>
      <c r="H26" s="361"/>
      <c r="I26" s="361"/>
      <c r="J26" s="334"/>
    </row>
    <row r="27" spans="1:10">
      <c r="A27" s="336">
        <v>2.5</v>
      </c>
      <c r="B27" s="369" t="s">
        <v>511</v>
      </c>
      <c r="C27" s="369">
        <v>973</v>
      </c>
      <c r="D27" s="443"/>
      <c r="E27" s="443"/>
      <c r="F27" s="361"/>
      <c r="G27" s="361"/>
      <c r="H27" s="361"/>
      <c r="I27" s="361"/>
      <c r="J27" s="334"/>
    </row>
    <row r="28" spans="1:10">
      <c r="A28" s="336">
        <v>2.6</v>
      </c>
      <c r="B28" s="369" t="s">
        <v>521</v>
      </c>
      <c r="C28" s="369">
        <f>65-18</f>
        <v>47</v>
      </c>
      <c r="D28" s="443"/>
      <c r="E28" s="443"/>
      <c r="F28" s="361"/>
      <c r="G28" s="361"/>
      <c r="H28" s="361"/>
      <c r="I28" s="361"/>
      <c r="J28" s="334"/>
    </row>
    <row r="29" spans="1:10">
      <c r="A29" s="211">
        <v>2.7</v>
      </c>
      <c r="B29" s="333" t="s">
        <v>522</v>
      </c>
      <c r="C29" s="333">
        <f>C27+C28</f>
        <v>1020</v>
      </c>
      <c r="D29" s="442">
        <v>837.26</v>
      </c>
      <c r="E29" s="442">
        <v>864.96</v>
      </c>
      <c r="F29" s="441">
        <f>G29-E29</f>
        <v>12.139999999999986</v>
      </c>
      <c r="G29" s="441">
        <v>877.1</v>
      </c>
      <c r="H29" s="441">
        <f>I29-G29</f>
        <v>100.31999999999994</v>
      </c>
      <c r="I29" s="441">
        <v>977.42</v>
      </c>
      <c r="J29" s="218">
        <f>C29-E29-F29-H29</f>
        <v>42.580000000000041</v>
      </c>
    </row>
    <row r="30" spans="1:10">
      <c r="A30" s="211">
        <v>3</v>
      </c>
      <c r="B30" s="227" t="s">
        <v>523</v>
      </c>
      <c r="C30" s="228"/>
      <c r="D30" s="355"/>
      <c r="E30" s="228"/>
      <c r="F30" s="228"/>
      <c r="G30" s="228"/>
      <c r="H30" s="228"/>
      <c r="I30" s="228"/>
      <c r="J30" s="229"/>
    </row>
    <row r="31" spans="1:10" ht="68.25" customHeight="1">
      <c r="A31" s="336">
        <v>3.1</v>
      </c>
      <c r="B31" s="369" t="s">
        <v>524</v>
      </c>
      <c r="C31" s="333">
        <v>50</v>
      </c>
      <c r="D31" s="443">
        <v>39.700000000000003</v>
      </c>
      <c r="E31" s="443">
        <v>40.36</v>
      </c>
      <c r="F31" s="361">
        <f>G31-E31</f>
        <v>-0.64999999999999858</v>
      </c>
      <c r="G31" s="361">
        <v>39.71</v>
      </c>
      <c r="H31" s="361">
        <f>I31-G31</f>
        <v>0.15999999999999659</v>
      </c>
      <c r="I31" s="361">
        <v>39.869999999999997</v>
      </c>
      <c r="J31" s="334">
        <f t="shared" ref="J31:J50" si="0">C31-E31-F31-H31</f>
        <v>10.130000000000003</v>
      </c>
    </row>
    <row r="32" spans="1:10" ht="24">
      <c r="A32" s="336">
        <v>3.2</v>
      </c>
      <c r="B32" s="369" t="s">
        <v>526</v>
      </c>
      <c r="C32" s="369">
        <v>0.3</v>
      </c>
      <c r="D32" s="443">
        <v>0.02</v>
      </c>
      <c r="E32" s="443">
        <v>0.02</v>
      </c>
      <c r="F32" s="361">
        <f t="shared" ref="F32:F51" si="1">G32-E32</f>
        <v>0</v>
      </c>
      <c r="G32" s="361">
        <v>0.02</v>
      </c>
      <c r="H32" s="361">
        <f t="shared" ref="H32:H51" si="2">I32-G32</f>
        <v>0</v>
      </c>
      <c r="I32" s="361">
        <v>0.02</v>
      </c>
      <c r="J32" s="334">
        <f t="shared" si="0"/>
        <v>0.27999999999999997</v>
      </c>
    </row>
    <row r="33" spans="1:12" ht="24">
      <c r="A33" s="336">
        <v>3.3</v>
      </c>
      <c r="B33" s="369" t="s">
        <v>528</v>
      </c>
      <c r="C33" s="369">
        <v>24</v>
      </c>
      <c r="D33" s="443">
        <v>21.35</v>
      </c>
      <c r="E33" s="443">
        <v>21.35</v>
      </c>
      <c r="F33" s="361">
        <f t="shared" si="1"/>
        <v>2.0299999999999976</v>
      </c>
      <c r="G33" s="361">
        <v>23.38</v>
      </c>
      <c r="H33" s="361">
        <f t="shared" si="2"/>
        <v>1.0000000000001563E-2</v>
      </c>
      <c r="I33" s="361">
        <v>23.39</v>
      </c>
      <c r="J33" s="334">
        <f t="shared" si="0"/>
        <v>0.60999999999999943</v>
      </c>
    </row>
    <row r="34" spans="1:12">
      <c r="A34" s="336">
        <v>3.4</v>
      </c>
      <c r="B34" s="369" t="s">
        <v>531</v>
      </c>
      <c r="C34" s="333">
        <v>20</v>
      </c>
      <c r="D34" s="443">
        <v>11.44</v>
      </c>
      <c r="E34" s="443">
        <v>11.44</v>
      </c>
      <c r="F34" s="361">
        <f t="shared" si="1"/>
        <v>0.3100000000000005</v>
      </c>
      <c r="G34" s="361">
        <v>11.75</v>
      </c>
      <c r="H34" s="361">
        <f t="shared" si="2"/>
        <v>0.58999999999999986</v>
      </c>
      <c r="I34" s="361">
        <v>12.34</v>
      </c>
      <c r="J34" s="334">
        <f t="shared" si="0"/>
        <v>7.66</v>
      </c>
    </row>
    <row r="35" spans="1:12" ht="24">
      <c r="A35" s="336">
        <v>3.5</v>
      </c>
      <c r="B35" s="369" t="s">
        <v>832</v>
      </c>
      <c r="C35" s="369">
        <v>52</v>
      </c>
      <c r="D35" s="443">
        <v>42.61</v>
      </c>
      <c r="E35" s="443">
        <v>42.61</v>
      </c>
      <c r="F35" s="361">
        <f t="shared" si="1"/>
        <v>3.1099999999999994</v>
      </c>
      <c r="G35" s="361">
        <v>45.72</v>
      </c>
      <c r="H35" s="361">
        <f t="shared" si="2"/>
        <v>-1.0899999999999963</v>
      </c>
      <c r="I35" s="361">
        <v>44.63</v>
      </c>
      <c r="J35" s="334">
        <f t="shared" si="0"/>
        <v>7.3699999999999974</v>
      </c>
    </row>
    <row r="36" spans="1:12" ht="75">
      <c r="A36" s="336">
        <v>3.6</v>
      </c>
      <c r="B36" s="369" t="s">
        <v>535</v>
      </c>
      <c r="C36" s="369">
        <v>19</v>
      </c>
      <c r="D36" s="443">
        <v>16.579999999999998</v>
      </c>
      <c r="E36" s="443">
        <v>16.940000000000001</v>
      </c>
      <c r="F36" s="361">
        <f t="shared" si="1"/>
        <v>0.25</v>
      </c>
      <c r="G36" s="361">
        <v>17.190000000000001</v>
      </c>
      <c r="H36" s="361">
        <f t="shared" si="2"/>
        <v>0</v>
      </c>
      <c r="I36" s="361">
        <v>17.190000000000001</v>
      </c>
      <c r="J36" s="334">
        <f t="shared" si="0"/>
        <v>1.8099999999999987</v>
      </c>
      <c r="L36" s="190" t="s">
        <v>860</v>
      </c>
    </row>
    <row r="37" spans="1:12">
      <c r="A37" s="336">
        <v>3.7</v>
      </c>
      <c r="B37" s="369" t="s">
        <v>537</v>
      </c>
      <c r="C37" s="369">
        <v>58</v>
      </c>
      <c r="D37" s="443">
        <v>42.93</v>
      </c>
      <c r="E37" s="443">
        <v>43.17</v>
      </c>
      <c r="F37" s="361">
        <f t="shared" si="1"/>
        <v>2.8999999999999986</v>
      </c>
      <c r="G37" s="361">
        <v>46.07</v>
      </c>
      <c r="H37" s="361">
        <f t="shared" si="2"/>
        <v>5.4099999999999966</v>
      </c>
      <c r="I37" s="361">
        <v>51.48</v>
      </c>
      <c r="J37" s="334">
        <f t="shared" si="0"/>
        <v>6.5200000000000031</v>
      </c>
    </row>
    <row r="38" spans="1:12" ht="24">
      <c r="A38" s="336">
        <v>3.8</v>
      </c>
      <c r="B38" s="369" t="s">
        <v>539</v>
      </c>
      <c r="C38" s="369">
        <v>86</v>
      </c>
      <c r="D38" s="356">
        <v>79.86</v>
      </c>
      <c r="E38" s="356">
        <v>83.48</v>
      </c>
      <c r="F38" s="361">
        <f t="shared" si="1"/>
        <v>0.47999999999998977</v>
      </c>
      <c r="G38" s="361">
        <v>83.96</v>
      </c>
      <c r="H38" s="361">
        <f t="shared" si="2"/>
        <v>0.22000000000001307</v>
      </c>
      <c r="I38" s="361">
        <v>84.18</v>
      </c>
      <c r="J38" s="334">
        <f t="shared" si="0"/>
        <v>1.8199999999999932</v>
      </c>
    </row>
    <row r="39" spans="1:12" ht="24">
      <c r="A39" s="336">
        <v>3.9</v>
      </c>
      <c r="B39" s="369" t="s">
        <v>540</v>
      </c>
      <c r="C39" s="369">
        <f>378-C38</f>
        <v>292</v>
      </c>
      <c r="D39" s="483">
        <v>240.78</v>
      </c>
      <c r="E39" s="443">
        <v>245.31</v>
      </c>
      <c r="F39" s="361">
        <f t="shared" si="1"/>
        <v>5.0699999999999932</v>
      </c>
      <c r="G39" s="361">
        <v>250.38</v>
      </c>
      <c r="H39" s="361">
        <f t="shared" si="2"/>
        <v>24.149999999999977</v>
      </c>
      <c r="I39" s="361">
        <v>274.52999999999997</v>
      </c>
      <c r="J39" s="334">
        <f t="shared" si="0"/>
        <v>17.470000000000027</v>
      </c>
    </row>
    <row r="40" spans="1:12" ht="24">
      <c r="A40" s="450" t="s">
        <v>829</v>
      </c>
      <c r="B40" s="369" t="s">
        <v>541</v>
      </c>
      <c r="C40" s="369">
        <v>5.4</v>
      </c>
      <c r="D40" s="356">
        <v>0.23</v>
      </c>
      <c r="E40" s="443">
        <v>0.23</v>
      </c>
      <c r="F40" s="361">
        <f t="shared" si="1"/>
        <v>0.37</v>
      </c>
      <c r="G40" s="361">
        <v>0.6</v>
      </c>
      <c r="H40" s="361">
        <f t="shared" si="2"/>
        <v>0.85</v>
      </c>
      <c r="I40" s="361">
        <v>1.45</v>
      </c>
      <c r="J40" s="334">
        <f t="shared" si="0"/>
        <v>3.9499999999999997</v>
      </c>
    </row>
    <row r="41" spans="1:12">
      <c r="A41" s="336">
        <v>3.11</v>
      </c>
      <c r="B41" s="369" t="s">
        <v>542</v>
      </c>
      <c r="C41" s="369">
        <v>184</v>
      </c>
      <c r="D41" s="356">
        <v>78.53</v>
      </c>
      <c r="E41" s="443">
        <v>80.739999999999995</v>
      </c>
      <c r="F41" s="361">
        <f t="shared" si="1"/>
        <v>72.36</v>
      </c>
      <c r="G41" s="361">
        <v>153.1</v>
      </c>
      <c r="H41" s="361">
        <f t="shared" si="2"/>
        <v>117.77000000000001</v>
      </c>
      <c r="I41" s="361">
        <v>270.87</v>
      </c>
      <c r="J41" s="334">
        <f t="shared" si="0"/>
        <v>-86.87</v>
      </c>
    </row>
    <row r="42" spans="1:12" ht="36">
      <c r="A42" s="336">
        <v>3.12</v>
      </c>
      <c r="B42" s="369" t="s">
        <v>744</v>
      </c>
      <c r="C42" s="369">
        <v>145</v>
      </c>
      <c r="D42" s="356">
        <v>50.2</v>
      </c>
      <c r="E42" s="443">
        <v>52.18</v>
      </c>
      <c r="F42" s="361">
        <f t="shared" si="1"/>
        <v>11.32</v>
      </c>
      <c r="G42" s="361">
        <v>63.5</v>
      </c>
      <c r="H42" s="361">
        <f t="shared" si="2"/>
        <v>26.799999999999997</v>
      </c>
      <c r="I42" s="361">
        <v>90.3</v>
      </c>
      <c r="J42" s="334">
        <f t="shared" si="0"/>
        <v>54.7</v>
      </c>
    </row>
    <row r="43" spans="1:12">
      <c r="A43" s="336">
        <v>3.13</v>
      </c>
      <c r="B43" s="369" t="s">
        <v>543</v>
      </c>
      <c r="C43" s="369">
        <v>4</v>
      </c>
      <c r="D43" s="356">
        <v>0.74</v>
      </c>
      <c r="E43" s="443">
        <v>0.79</v>
      </c>
      <c r="F43" s="361">
        <f t="shared" si="1"/>
        <v>-1.0000000000000009E-2</v>
      </c>
      <c r="G43" s="361">
        <v>0.78</v>
      </c>
      <c r="H43" s="361">
        <f t="shared" si="2"/>
        <v>8.9999999999999969E-2</v>
      </c>
      <c r="I43" s="361">
        <v>0.87</v>
      </c>
      <c r="J43" s="334">
        <f t="shared" si="0"/>
        <v>3.13</v>
      </c>
    </row>
    <row r="44" spans="1:12">
      <c r="A44" s="336">
        <v>3.14</v>
      </c>
      <c r="B44" s="369" t="s">
        <v>544</v>
      </c>
      <c r="C44" s="369">
        <v>22.1</v>
      </c>
      <c r="D44" s="356">
        <v>9.2899999999999991</v>
      </c>
      <c r="E44" s="443">
        <v>9.4499999999999993</v>
      </c>
      <c r="F44" s="361">
        <f t="shared" si="1"/>
        <v>0.60000000000000142</v>
      </c>
      <c r="G44" s="361">
        <v>10.050000000000001</v>
      </c>
      <c r="H44" s="361">
        <f t="shared" si="2"/>
        <v>0.67999999999999972</v>
      </c>
      <c r="I44" s="361">
        <v>10.73</v>
      </c>
      <c r="J44" s="334">
        <f t="shared" si="0"/>
        <v>11.370000000000001</v>
      </c>
    </row>
    <row r="45" spans="1:12" ht="24">
      <c r="A45" s="336">
        <v>3.15</v>
      </c>
      <c r="B45" s="369" t="s">
        <v>545</v>
      </c>
      <c r="C45" s="369">
        <v>2</v>
      </c>
      <c r="D45" s="356">
        <v>0.42</v>
      </c>
      <c r="E45" s="443">
        <v>0.42</v>
      </c>
      <c r="F45" s="361">
        <f t="shared" si="1"/>
        <v>3.0000000000000027E-2</v>
      </c>
      <c r="G45" s="361">
        <v>0.45</v>
      </c>
      <c r="H45" s="361">
        <f t="shared" si="2"/>
        <v>0</v>
      </c>
      <c r="I45" s="361">
        <v>0.45</v>
      </c>
      <c r="J45" s="334">
        <f t="shared" si="0"/>
        <v>1.55</v>
      </c>
    </row>
    <row r="46" spans="1:12" ht="36">
      <c r="A46" s="336">
        <v>3.16</v>
      </c>
      <c r="B46" s="369" t="s">
        <v>546</v>
      </c>
      <c r="C46" s="369">
        <v>49</v>
      </c>
      <c r="D46" s="356">
        <v>42</v>
      </c>
      <c r="E46" s="443">
        <v>42</v>
      </c>
      <c r="F46" s="361">
        <f t="shared" si="1"/>
        <v>6.0200000000000031</v>
      </c>
      <c r="G46" s="361">
        <v>48.02</v>
      </c>
      <c r="H46" s="361">
        <f t="shared" si="2"/>
        <v>0</v>
      </c>
      <c r="I46" s="361">
        <v>48.02</v>
      </c>
      <c r="J46" s="334">
        <f t="shared" si="0"/>
        <v>0.97999999999999687</v>
      </c>
    </row>
    <row r="47" spans="1:12" ht="24">
      <c r="A47" s="336">
        <v>3.17</v>
      </c>
      <c r="B47" s="369" t="s">
        <v>547</v>
      </c>
      <c r="C47" s="369">
        <v>30</v>
      </c>
      <c r="D47" s="356">
        <v>24.66</v>
      </c>
      <c r="E47" s="443">
        <v>24.97</v>
      </c>
      <c r="F47" s="361">
        <f t="shared" si="1"/>
        <v>-0.57000000000000028</v>
      </c>
      <c r="G47" s="484">
        <v>24.4</v>
      </c>
      <c r="H47" s="361">
        <f t="shared" si="2"/>
        <v>0</v>
      </c>
      <c r="I47" s="361">
        <v>24.4</v>
      </c>
      <c r="J47" s="334">
        <f t="shared" si="0"/>
        <v>5.6000000000000014</v>
      </c>
    </row>
    <row r="48" spans="1:12" ht="24">
      <c r="A48" s="336">
        <v>3.18</v>
      </c>
      <c r="B48" s="369" t="s">
        <v>548</v>
      </c>
      <c r="C48" s="369">
        <v>6</v>
      </c>
      <c r="D48" s="356">
        <v>2.37</v>
      </c>
      <c r="E48" s="443">
        <v>2.37</v>
      </c>
      <c r="F48" s="361">
        <f t="shared" si="1"/>
        <v>-0.18999999999999995</v>
      </c>
      <c r="G48" s="361">
        <v>2.1800000000000002</v>
      </c>
      <c r="H48" s="361">
        <f t="shared" si="2"/>
        <v>0.54</v>
      </c>
      <c r="I48" s="361">
        <v>2.72</v>
      </c>
      <c r="J48" s="334">
        <f t="shared" si="0"/>
        <v>3.28</v>
      </c>
    </row>
    <row r="49" spans="1:10">
      <c r="A49" s="336">
        <v>3.19</v>
      </c>
      <c r="B49" s="369" t="s">
        <v>549</v>
      </c>
      <c r="C49" s="369">
        <v>8</v>
      </c>
      <c r="D49" s="356">
        <v>3.25</v>
      </c>
      <c r="E49" s="443">
        <v>3.48</v>
      </c>
      <c r="F49" s="361">
        <f t="shared" si="1"/>
        <v>0.51000000000000023</v>
      </c>
      <c r="G49" s="361">
        <v>3.99</v>
      </c>
      <c r="H49" s="361">
        <f t="shared" si="2"/>
        <v>0.50999999999999979</v>
      </c>
      <c r="I49" s="361">
        <v>4.5</v>
      </c>
      <c r="J49" s="334">
        <f t="shared" si="0"/>
        <v>3.5</v>
      </c>
    </row>
    <row r="50" spans="1:10">
      <c r="A50" s="343">
        <v>3.2</v>
      </c>
      <c r="B50" s="369" t="s">
        <v>550</v>
      </c>
      <c r="C50" s="369"/>
      <c r="D50" s="356">
        <v>0</v>
      </c>
      <c r="E50" s="443">
        <v>0</v>
      </c>
      <c r="F50" s="361">
        <f t="shared" si="1"/>
        <v>0</v>
      </c>
      <c r="G50" s="361">
        <v>0</v>
      </c>
      <c r="H50" s="361">
        <f t="shared" si="2"/>
        <v>0</v>
      </c>
      <c r="I50" s="361">
        <v>0</v>
      </c>
      <c r="J50" s="334">
        <f t="shared" si="0"/>
        <v>0</v>
      </c>
    </row>
    <row r="51" spans="1:10">
      <c r="A51" s="368">
        <v>3.21</v>
      </c>
      <c r="B51" s="362" t="s">
        <v>745</v>
      </c>
      <c r="C51" s="362">
        <v>28.69</v>
      </c>
      <c r="D51" s="356">
        <v>0</v>
      </c>
      <c r="E51" s="443">
        <v>0</v>
      </c>
      <c r="F51" s="361">
        <f t="shared" si="1"/>
        <v>0</v>
      </c>
      <c r="G51" s="361"/>
      <c r="H51" s="361">
        <f t="shared" si="2"/>
        <v>28.7</v>
      </c>
      <c r="I51" s="361">
        <v>28.7</v>
      </c>
      <c r="J51" s="334">
        <v>0</v>
      </c>
    </row>
    <row r="52" spans="1:10" ht="36">
      <c r="A52" s="211">
        <v>3.22</v>
      </c>
      <c r="B52" s="205" t="s">
        <v>551</v>
      </c>
      <c r="C52" s="205">
        <f>SUM(C31:C51)</f>
        <v>1085.49</v>
      </c>
      <c r="D52" s="442">
        <f>SUM(D31:D51)</f>
        <v>706.95999999999992</v>
      </c>
      <c r="E52" s="442">
        <f t="shared" ref="E52:J52" si="3">SUM(E31:E51)</f>
        <v>721.31</v>
      </c>
      <c r="F52" s="442">
        <f t="shared" si="3"/>
        <v>103.94000000000001</v>
      </c>
      <c r="G52" s="489">
        <f t="shared" si="3"/>
        <v>825.25</v>
      </c>
      <c r="H52" s="442">
        <f t="shared" si="3"/>
        <v>205.39</v>
      </c>
      <c r="I52" s="442">
        <f t="shared" si="3"/>
        <v>1030.6400000000001</v>
      </c>
      <c r="J52" s="218">
        <f t="shared" si="3"/>
        <v>54.860000000000014</v>
      </c>
    </row>
    <row r="53" spans="1:10">
      <c r="A53" s="211">
        <v>4</v>
      </c>
      <c r="B53" s="222" t="s">
        <v>552</v>
      </c>
      <c r="C53" s="222"/>
      <c r="D53" s="353"/>
      <c r="E53" s="222"/>
      <c r="F53" s="359"/>
      <c r="G53" s="359"/>
      <c r="H53" s="359"/>
      <c r="I53" s="359"/>
      <c r="J53" s="223"/>
    </row>
    <row r="54" spans="1:10">
      <c r="A54" s="336">
        <v>4.0999999999999996</v>
      </c>
      <c r="B54" s="369" t="s">
        <v>553</v>
      </c>
      <c r="C54" s="369">
        <v>5</v>
      </c>
      <c r="D54" s="443">
        <v>11.32</v>
      </c>
      <c r="E54" s="443">
        <v>11.32</v>
      </c>
      <c r="F54" s="364">
        <f t="shared" ref="F54:F63" si="4">G54-E54</f>
        <v>2.4699999999999989</v>
      </c>
      <c r="G54" s="364">
        <v>13.79</v>
      </c>
      <c r="H54" s="364">
        <f t="shared" ref="H54:H63" si="5">I54-G54</f>
        <v>2.41</v>
      </c>
      <c r="I54" s="364">
        <v>16.2</v>
      </c>
      <c r="J54" s="365">
        <f t="shared" ref="J54:J63" si="6">C54-E54-F54-H54</f>
        <v>-11.2</v>
      </c>
    </row>
    <row r="55" spans="1:10" ht="24">
      <c r="A55" s="336">
        <v>4.2</v>
      </c>
      <c r="B55" s="369" t="s">
        <v>555</v>
      </c>
      <c r="C55" s="369">
        <v>94</v>
      </c>
      <c r="D55" s="443">
        <v>69.8</v>
      </c>
      <c r="E55" s="443">
        <v>69.8</v>
      </c>
      <c r="F55" s="364">
        <f t="shared" si="4"/>
        <v>20.090000000000003</v>
      </c>
      <c r="G55" s="364">
        <v>89.89</v>
      </c>
      <c r="H55" s="364">
        <f t="shared" si="5"/>
        <v>-1.1599999999999966</v>
      </c>
      <c r="I55" s="364">
        <v>88.73</v>
      </c>
      <c r="J55" s="365">
        <f t="shared" si="6"/>
        <v>5.269999999999996</v>
      </c>
    </row>
    <row r="56" spans="1:10" ht="24">
      <c r="A56" s="336">
        <v>4.3</v>
      </c>
      <c r="B56" s="369" t="s">
        <v>557</v>
      </c>
      <c r="C56" s="369">
        <v>120</v>
      </c>
      <c r="D56" s="443">
        <v>107.77</v>
      </c>
      <c r="E56" s="443">
        <v>109.73</v>
      </c>
      <c r="F56" s="364">
        <f t="shared" si="4"/>
        <v>5.2000000000000028</v>
      </c>
      <c r="G56" s="364">
        <v>114.93</v>
      </c>
      <c r="H56" s="364">
        <f t="shared" si="5"/>
        <v>4.5099999999999909</v>
      </c>
      <c r="I56" s="364">
        <v>119.44</v>
      </c>
      <c r="J56" s="365">
        <f t="shared" si="6"/>
        <v>0.56000000000000227</v>
      </c>
    </row>
    <row r="57" spans="1:10">
      <c r="A57" s="336">
        <v>4.4000000000000004</v>
      </c>
      <c r="B57" s="369" t="s">
        <v>559</v>
      </c>
      <c r="C57" s="369">
        <v>41</v>
      </c>
      <c r="D57" s="443">
        <v>38.69</v>
      </c>
      <c r="E57" s="443">
        <v>40.78</v>
      </c>
      <c r="F57" s="364">
        <f t="shared" si="4"/>
        <v>-0.57999999999999829</v>
      </c>
      <c r="G57" s="364">
        <v>40.200000000000003</v>
      </c>
      <c r="H57" s="364">
        <f t="shared" si="5"/>
        <v>0</v>
      </c>
      <c r="I57" s="364">
        <v>40.200000000000003</v>
      </c>
      <c r="J57" s="365">
        <f t="shared" si="6"/>
        <v>0.79999999999999716</v>
      </c>
    </row>
    <row r="58" spans="1:10">
      <c r="A58" s="336">
        <v>4.5</v>
      </c>
      <c r="B58" s="369" t="s">
        <v>560</v>
      </c>
      <c r="C58" s="369">
        <v>2</v>
      </c>
      <c r="D58" s="356">
        <v>0</v>
      </c>
      <c r="E58" s="443">
        <v>0</v>
      </c>
      <c r="F58" s="364">
        <f t="shared" si="4"/>
        <v>0</v>
      </c>
      <c r="G58" s="364">
        <v>0</v>
      </c>
      <c r="H58" s="364">
        <f t="shared" si="5"/>
        <v>0</v>
      </c>
      <c r="I58" s="364">
        <v>0</v>
      </c>
      <c r="J58" s="365">
        <f t="shared" si="6"/>
        <v>2</v>
      </c>
    </row>
    <row r="59" spans="1:10" ht="24">
      <c r="A59" s="336">
        <v>4.5999999999999996</v>
      </c>
      <c r="B59" s="369" t="s">
        <v>561</v>
      </c>
      <c r="C59" s="369"/>
      <c r="D59" s="356">
        <v>0</v>
      </c>
      <c r="E59" s="443">
        <v>0</v>
      </c>
      <c r="F59" s="364">
        <f t="shared" si="4"/>
        <v>2.96</v>
      </c>
      <c r="G59" s="364">
        <v>2.96</v>
      </c>
      <c r="H59" s="364">
        <f t="shared" si="5"/>
        <v>0</v>
      </c>
      <c r="I59" s="364">
        <v>2.96</v>
      </c>
      <c r="J59" s="365">
        <f t="shared" si="6"/>
        <v>-2.96</v>
      </c>
    </row>
    <row r="60" spans="1:10">
      <c r="A60" s="336">
        <v>4.7</v>
      </c>
      <c r="B60" s="369" t="s">
        <v>562</v>
      </c>
      <c r="C60" s="369"/>
      <c r="D60" s="356">
        <v>0</v>
      </c>
      <c r="E60" s="443">
        <v>0</v>
      </c>
      <c r="F60" s="364">
        <f t="shared" si="4"/>
        <v>0</v>
      </c>
      <c r="G60" s="364">
        <v>0</v>
      </c>
      <c r="H60" s="364">
        <f t="shared" si="5"/>
        <v>0</v>
      </c>
      <c r="I60" s="364">
        <v>0</v>
      </c>
      <c r="J60" s="365">
        <f t="shared" si="6"/>
        <v>0</v>
      </c>
    </row>
    <row r="61" spans="1:10" ht="24">
      <c r="A61" s="336">
        <v>4.8</v>
      </c>
      <c r="B61" s="369" t="s">
        <v>563</v>
      </c>
      <c r="C61" s="369">
        <v>1</v>
      </c>
      <c r="D61" s="356">
        <v>0</v>
      </c>
      <c r="E61" s="443">
        <v>0</v>
      </c>
      <c r="F61" s="364">
        <f t="shared" si="4"/>
        <v>0.5</v>
      </c>
      <c r="G61" s="364">
        <v>0.5</v>
      </c>
      <c r="H61" s="364">
        <f t="shared" si="5"/>
        <v>0</v>
      </c>
      <c r="I61" s="364">
        <v>0.5</v>
      </c>
      <c r="J61" s="365">
        <f t="shared" si="6"/>
        <v>0.5</v>
      </c>
    </row>
    <row r="62" spans="1:10" ht="19.5" customHeight="1">
      <c r="A62" s="336">
        <v>4.9000000000000004</v>
      </c>
      <c r="B62" s="369" t="s">
        <v>564</v>
      </c>
      <c r="C62" s="369">
        <v>1264.3399999999999</v>
      </c>
      <c r="D62" s="356">
        <v>1231.73</v>
      </c>
      <c r="E62" s="443">
        <v>1264.3399999999999</v>
      </c>
      <c r="F62" s="364">
        <f t="shared" si="4"/>
        <v>16.6400000000001</v>
      </c>
      <c r="G62" s="364">
        <v>1280.98</v>
      </c>
      <c r="H62" s="364">
        <f t="shared" si="5"/>
        <v>21.549999999999955</v>
      </c>
      <c r="I62" s="364">
        <v>1302.53</v>
      </c>
      <c r="J62" s="365">
        <f t="shared" si="6"/>
        <v>-38.190000000000055</v>
      </c>
    </row>
    <row r="63" spans="1:10" ht="19.5" customHeight="1">
      <c r="A63" s="351">
        <v>4.0999999999999996</v>
      </c>
      <c r="B63" s="348" t="s">
        <v>746</v>
      </c>
      <c r="C63" s="348">
        <v>17</v>
      </c>
      <c r="D63" s="356">
        <v>18.149999999999999</v>
      </c>
      <c r="E63" s="350">
        <v>20.9</v>
      </c>
      <c r="F63" s="364">
        <f t="shared" si="4"/>
        <v>-4</v>
      </c>
      <c r="G63" s="364">
        <v>16.899999999999999</v>
      </c>
      <c r="H63" s="364">
        <f t="shared" si="5"/>
        <v>0.10000000000000142</v>
      </c>
      <c r="I63" s="364">
        <v>17</v>
      </c>
      <c r="J63" s="365">
        <f t="shared" si="6"/>
        <v>0</v>
      </c>
    </row>
    <row r="64" spans="1:10">
      <c r="A64" s="491" t="s">
        <v>856</v>
      </c>
      <c r="B64" s="345" t="s">
        <v>565</v>
      </c>
      <c r="C64" s="345">
        <f t="shared" ref="C64:J64" si="7">SUM(C54:C63)</f>
        <v>1544.34</v>
      </c>
      <c r="D64" s="442">
        <f t="shared" si="7"/>
        <v>1477.46</v>
      </c>
      <c r="E64" s="442">
        <f t="shared" si="7"/>
        <v>1516.8700000000001</v>
      </c>
      <c r="F64" s="442">
        <f t="shared" si="7"/>
        <v>43.280000000000108</v>
      </c>
      <c r="G64" s="442">
        <f t="shared" si="7"/>
        <v>1560.15</v>
      </c>
      <c r="H64" s="442">
        <f t="shared" si="7"/>
        <v>27.40999999999995</v>
      </c>
      <c r="I64" s="442">
        <f t="shared" si="7"/>
        <v>1587.56</v>
      </c>
      <c r="J64" s="366">
        <f t="shared" si="7"/>
        <v>-43.220000000000056</v>
      </c>
    </row>
    <row r="65" spans="1:12" ht="24">
      <c r="A65" s="211">
        <v>5</v>
      </c>
      <c r="B65" s="333" t="s">
        <v>566</v>
      </c>
      <c r="C65" s="333">
        <f t="shared" ref="C65:J65" si="8">C21+C29+C52+C64</f>
        <v>8584.33</v>
      </c>
      <c r="D65" s="442">
        <f t="shared" si="8"/>
        <v>7771.63</v>
      </c>
      <c r="E65" s="442">
        <f t="shared" si="8"/>
        <v>7884.6799999999994</v>
      </c>
      <c r="F65" s="442">
        <f t="shared" si="8"/>
        <v>149.96000000000046</v>
      </c>
      <c r="G65" s="442">
        <f t="shared" si="8"/>
        <v>8034.6400000000012</v>
      </c>
      <c r="H65" s="442">
        <f t="shared" si="8"/>
        <v>333.11999999999989</v>
      </c>
      <c r="I65" s="442">
        <f t="shared" si="8"/>
        <v>8367.76</v>
      </c>
      <c r="J65" s="218">
        <f t="shared" si="8"/>
        <v>216.57999999999967</v>
      </c>
    </row>
    <row r="66" spans="1:12">
      <c r="A66" s="213"/>
      <c r="B66" s="207"/>
      <c r="C66" s="207"/>
      <c r="D66" s="357"/>
      <c r="E66" s="207"/>
      <c r="F66" s="1513"/>
      <c r="G66" s="1513"/>
      <c r="H66" s="1513"/>
      <c r="I66" s="1513"/>
      <c r="J66" s="1514"/>
      <c r="L66" s="190">
        <f>G64+1.54</f>
        <v>1561.69</v>
      </c>
    </row>
    <row r="67" spans="1:12">
      <c r="A67" s="478"/>
      <c r="B67" s="193" t="s">
        <v>567</v>
      </c>
      <c r="C67" s="193"/>
      <c r="D67" s="357"/>
      <c r="E67" s="207"/>
      <c r="F67" s="1513"/>
      <c r="G67" s="1513"/>
      <c r="H67" s="1513"/>
      <c r="I67" s="1513"/>
      <c r="J67" s="1514"/>
    </row>
    <row r="68" spans="1:12" ht="31.9" customHeight="1">
      <c r="A68" s="1512"/>
      <c r="B68" s="1564" t="s">
        <v>992</v>
      </c>
      <c r="C68" s="1564"/>
      <c r="D68" s="1564"/>
      <c r="E68" s="1564"/>
      <c r="F68" s="1564"/>
      <c r="G68" s="1564"/>
      <c r="H68" s="1564"/>
      <c r="I68" s="1564"/>
      <c r="J68" s="1951"/>
    </row>
    <row r="69" spans="1:12">
      <c r="A69" s="1512"/>
      <c r="B69" s="1564" t="s">
        <v>568</v>
      </c>
      <c r="C69" s="1564"/>
      <c r="D69" s="1564"/>
      <c r="E69" s="1564"/>
      <c r="F69" s="1564"/>
      <c r="G69" s="1564"/>
      <c r="H69" s="1564"/>
      <c r="I69" s="1564"/>
      <c r="J69" s="1951"/>
    </row>
    <row r="70" spans="1:12">
      <c r="A70" s="478"/>
      <c r="D70" s="621"/>
      <c r="E70" s="215"/>
      <c r="F70" s="215"/>
      <c r="G70" s="215"/>
      <c r="H70" s="215"/>
      <c r="I70" s="215"/>
      <c r="J70" s="216"/>
    </row>
    <row r="71" spans="1:12">
      <c r="A71" s="196"/>
      <c r="J71" s="198"/>
    </row>
    <row r="72" spans="1:12">
      <c r="A72" s="196"/>
      <c r="F72" s="215"/>
      <c r="G72" s="215"/>
      <c r="H72" s="622" t="s">
        <v>822</v>
      </c>
      <c r="I72" s="215"/>
      <c r="J72" s="198"/>
    </row>
    <row r="73" spans="1:12" ht="15.75" thickBot="1">
      <c r="A73" s="199"/>
      <c r="B73" s="191"/>
      <c r="C73" s="191"/>
      <c r="D73" s="358"/>
      <c r="E73" s="191"/>
      <c r="F73" s="191"/>
      <c r="G73" s="191"/>
      <c r="H73" s="191"/>
      <c r="I73" s="191"/>
      <c r="J73" s="214"/>
    </row>
    <row r="77" spans="1:12">
      <c r="I77" s="190">
        <f>I65-I41-I39</f>
        <v>7822.3600000000006</v>
      </c>
    </row>
    <row r="79" spans="1:12" ht="14.45" customHeight="1"/>
    <row r="83" ht="14.45" customHeight="1"/>
    <row r="92" ht="14.45" customHeight="1"/>
  </sheetData>
  <mergeCells count="21">
    <mergeCell ref="F66:J66"/>
    <mergeCell ref="F67:J67"/>
    <mergeCell ref="A68:A69"/>
    <mergeCell ref="B68:J68"/>
    <mergeCell ref="B69:J69"/>
    <mergeCell ref="N10:O10"/>
    <mergeCell ref="A5:J5"/>
    <mergeCell ref="A7:B7"/>
    <mergeCell ref="C7:G7"/>
    <mergeCell ref="A8:B8"/>
    <mergeCell ref="C8:G8"/>
    <mergeCell ref="A10:A11"/>
    <mergeCell ref="B10:B11"/>
    <mergeCell ref="C10:C11"/>
    <mergeCell ref="D10:D11"/>
    <mergeCell ref="E10:E11"/>
    <mergeCell ref="F10:F11"/>
    <mergeCell ref="G10:G11"/>
    <mergeCell ref="H10:H11"/>
    <mergeCell ref="I10:I11"/>
    <mergeCell ref="J10:J11"/>
  </mergeCells>
  <pageMargins left="0.7" right="0.7" top="0.75" bottom="0.75" header="0.3" footer="0.3"/>
  <pageSetup paperSize="9" scale="80" fitToHeight="2" orientation="portrait" horizontalDpi="4294967293" r:id="rId1"/>
  <legacyDrawing r:id="rId2"/>
</worksheet>
</file>

<file path=xl/worksheets/sheet5.xml><?xml version="1.0" encoding="utf-8"?>
<worksheet xmlns="http://schemas.openxmlformats.org/spreadsheetml/2006/main" xmlns:r="http://schemas.openxmlformats.org/officeDocument/2006/relationships">
  <sheetPr>
    <tabColor rgb="FF00B050"/>
    <pageSetUpPr fitToPage="1"/>
  </sheetPr>
  <dimension ref="A1:M54"/>
  <sheetViews>
    <sheetView workbookViewId="0">
      <selection activeCell="O23" sqref="O23"/>
    </sheetView>
  </sheetViews>
  <sheetFormatPr defaultColWidth="9.33203125" defaultRowHeight="12.75"/>
  <cols>
    <col min="1" max="1" width="10.5" style="883" customWidth="1"/>
    <col min="2" max="2" width="33" style="883" customWidth="1"/>
    <col min="3" max="3" width="24.33203125" style="883" customWidth="1"/>
    <col min="4" max="4" width="18.33203125" style="883" hidden="1" customWidth="1"/>
    <col min="5" max="5" width="15.83203125" style="883" hidden="1" customWidth="1"/>
    <col min="6" max="6" width="14.5" style="883" hidden="1" customWidth="1"/>
    <col min="7" max="7" width="14" style="883" hidden="1" customWidth="1"/>
    <col min="8" max="12" width="15.5" style="883" customWidth="1"/>
    <col min="13" max="16384" width="9.33203125" style="883"/>
  </cols>
  <sheetData>
    <row r="1" spans="1:13">
      <c r="A1" s="970"/>
      <c r="B1" s="896"/>
      <c r="C1" s="896"/>
      <c r="D1" s="896"/>
      <c r="E1" s="896"/>
      <c r="F1" s="896"/>
      <c r="G1" s="896"/>
      <c r="H1" s="896"/>
      <c r="I1" s="896"/>
      <c r="J1" s="896"/>
      <c r="K1" s="896"/>
      <c r="L1" s="897"/>
    </row>
    <row r="2" spans="1:13" ht="15">
      <c r="A2" s="971"/>
      <c r="K2" s="972" t="s">
        <v>414</v>
      </c>
      <c r="L2" s="884"/>
    </row>
    <row r="3" spans="1:13" ht="15.75">
      <c r="A3" s="971"/>
      <c r="K3" s="781" t="s">
        <v>450</v>
      </c>
      <c r="L3" s="884"/>
    </row>
    <row r="4" spans="1:13" ht="22.5" customHeight="1">
      <c r="A4" s="1498" t="s">
        <v>1383</v>
      </c>
      <c r="B4" s="1499"/>
      <c r="C4" s="1499"/>
      <c r="D4" s="1499"/>
      <c r="E4" s="1499"/>
      <c r="F4" s="1499"/>
      <c r="G4" s="1499"/>
      <c r="H4" s="1499"/>
      <c r="I4" s="1499"/>
      <c r="J4" s="1499"/>
      <c r="K4" s="1499"/>
      <c r="L4" s="1500"/>
    </row>
    <row r="5" spans="1:13" ht="12" customHeight="1">
      <c r="A5" s="973"/>
      <c r="B5" s="974"/>
      <c r="C5" s="974"/>
      <c r="D5" s="974"/>
      <c r="E5" s="974"/>
      <c r="F5" s="974"/>
      <c r="G5" s="974"/>
      <c r="L5" s="884"/>
      <c r="M5" s="891"/>
    </row>
    <row r="6" spans="1:13" ht="18.75" customHeight="1">
      <c r="A6" s="719" t="s">
        <v>449</v>
      </c>
      <c r="B6" s="720"/>
      <c r="C6" s="975" t="s">
        <v>996</v>
      </c>
      <c r="D6" s="179"/>
      <c r="E6" s="179"/>
      <c r="F6" s="976"/>
      <c r="G6" s="976"/>
      <c r="L6" s="884"/>
    </row>
    <row r="7" spans="1:13" ht="21" customHeight="1">
      <c r="A7" s="721" t="s">
        <v>448</v>
      </c>
      <c r="B7" s="722"/>
      <c r="C7" s="975" t="s">
        <v>461</v>
      </c>
      <c r="D7" s="181"/>
      <c r="E7" s="181"/>
      <c r="F7" s="976"/>
      <c r="G7" s="976"/>
      <c r="L7" s="884"/>
    </row>
    <row r="8" spans="1:13" ht="15.75">
      <c r="A8" s="977"/>
      <c r="B8" s="939"/>
      <c r="C8" s="939"/>
      <c r="D8" s="939"/>
      <c r="E8" s="976"/>
      <c r="F8" s="976"/>
      <c r="G8" s="976"/>
      <c r="J8" s="978"/>
      <c r="L8" s="884"/>
    </row>
    <row r="9" spans="1:13" ht="18" customHeight="1">
      <c r="A9" s="979" t="s">
        <v>999</v>
      </c>
      <c r="B9" s="781" t="s">
        <v>451</v>
      </c>
      <c r="C9" s="533" t="s">
        <v>1000</v>
      </c>
      <c r="D9" s="533" t="s">
        <v>577</v>
      </c>
      <c r="G9" s="893"/>
      <c r="L9" s="884"/>
    </row>
    <row r="10" spans="1:13" ht="14.25" customHeight="1">
      <c r="A10" s="971"/>
      <c r="L10" s="884"/>
    </row>
    <row r="11" spans="1:13" ht="16.5" customHeight="1">
      <c r="A11" s="971"/>
      <c r="K11" s="980" t="s">
        <v>988</v>
      </c>
      <c r="L11" s="981"/>
    </row>
    <row r="12" spans="1:13" ht="48.75" customHeight="1">
      <c r="A12" s="1075" t="s">
        <v>1005</v>
      </c>
      <c r="B12" s="723" t="s">
        <v>418</v>
      </c>
      <c r="C12" s="723" t="s">
        <v>619</v>
      </c>
      <c r="D12" s="723" t="s">
        <v>443</v>
      </c>
      <c r="E12" s="723" t="s">
        <v>444</v>
      </c>
      <c r="F12" s="723" t="s">
        <v>445</v>
      </c>
      <c r="G12" s="723" t="s">
        <v>446</v>
      </c>
      <c r="H12" s="723" t="s">
        <v>1016</v>
      </c>
      <c r="I12" s="723" t="s">
        <v>1017</v>
      </c>
      <c r="J12" s="724" t="s">
        <v>1018</v>
      </c>
      <c r="K12" s="723" t="s">
        <v>1019</v>
      </c>
      <c r="L12" s="725" t="s">
        <v>1020</v>
      </c>
    </row>
    <row r="13" spans="1:13" ht="19.899999999999999" customHeight="1">
      <c r="A13" s="794">
        <v>1</v>
      </c>
      <c r="B13" s="514">
        <v>2</v>
      </c>
      <c r="C13" s="185">
        <v>3</v>
      </c>
      <c r="D13" s="515">
        <v>4</v>
      </c>
      <c r="E13" s="514">
        <v>5</v>
      </c>
      <c r="F13" s="514">
        <v>6</v>
      </c>
      <c r="G13" s="514">
        <v>7</v>
      </c>
      <c r="H13" s="514">
        <v>8</v>
      </c>
      <c r="I13" s="514">
        <v>9</v>
      </c>
      <c r="J13" s="718">
        <v>10</v>
      </c>
      <c r="K13" s="514">
        <v>11</v>
      </c>
      <c r="L13" s="726">
        <v>12</v>
      </c>
    </row>
    <row r="14" spans="1:13" ht="25.9" customHeight="1">
      <c r="A14" s="795"/>
      <c r="B14" s="510" t="s">
        <v>617</v>
      </c>
      <c r="C14" s="982"/>
      <c r="D14" s="512">
        <v>68</v>
      </c>
      <c r="E14" s="512">
        <v>120</v>
      </c>
      <c r="F14" s="510">
        <v>365</v>
      </c>
      <c r="G14" s="646">
        <v>365</v>
      </c>
      <c r="H14" s="881"/>
      <c r="I14" s="881"/>
      <c r="J14" s="907"/>
      <c r="K14" s="881"/>
      <c r="L14" s="882"/>
    </row>
    <row r="15" spans="1:13" ht="25.9" customHeight="1">
      <c r="A15" s="795"/>
      <c r="B15" s="527" t="s">
        <v>884</v>
      </c>
      <c r="C15" s="982"/>
      <c r="D15" s="511"/>
      <c r="E15" s="512"/>
      <c r="F15" s="510"/>
      <c r="G15" s="646"/>
      <c r="H15" s="881"/>
      <c r="I15" s="881"/>
      <c r="J15" s="907"/>
      <c r="K15" s="881"/>
      <c r="L15" s="882"/>
    </row>
    <row r="16" spans="1:13" ht="18" customHeight="1">
      <c r="A16" s="796"/>
      <c r="B16" s="983"/>
      <c r="C16" s="983"/>
      <c r="D16" s="983"/>
      <c r="E16" s="983"/>
      <c r="F16" s="983"/>
      <c r="G16" s="984"/>
      <c r="H16" s="881"/>
      <c r="I16" s="881"/>
      <c r="J16" s="907"/>
      <c r="K16" s="881"/>
      <c r="L16" s="882"/>
    </row>
    <row r="17" spans="1:12" ht="18" customHeight="1">
      <c r="A17" s="797">
        <v>1.1000000000000001</v>
      </c>
      <c r="B17" s="528" t="s">
        <v>454</v>
      </c>
      <c r="C17" s="513" t="s">
        <v>452</v>
      </c>
      <c r="D17" s="516">
        <f>'Form-11'!B29</f>
        <v>35.893613434759672</v>
      </c>
      <c r="E17" s="516">
        <f>'Form-11'!C29</f>
        <v>122.10676101984689</v>
      </c>
      <c r="F17" s="516">
        <f>'Form-11'!D29</f>
        <v>383.34878555545032</v>
      </c>
      <c r="G17" s="647">
        <f>'Form-11'!E29</f>
        <v>413.74209662218192</v>
      </c>
      <c r="H17" s="647">
        <f>'Form-11'!F29</f>
        <v>437.35309975145992</v>
      </c>
      <c r="I17" s="647">
        <f>'Form-11'!G29</f>
        <v>443.02399687664285</v>
      </c>
      <c r="J17" s="647">
        <f>'Form-11'!H29</f>
        <v>456.87490302736154</v>
      </c>
      <c r="K17" s="647">
        <f>'Form-11'!I29</f>
        <v>486.18514891236998</v>
      </c>
      <c r="L17" s="1236">
        <f>'Form-11'!J29</f>
        <v>507.47793293283848</v>
      </c>
    </row>
    <row r="18" spans="1:12" ht="18" customHeight="1">
      <c r="A18" s="797">
        <v>1.2</v>
      </c>
      <c r="B18" s="528" t="s">
        <v>426</v>
      </c>
      <c r="C18" s="513" t="s">
        <v>874</v>
      </c>
      <c r="D18" s="516">
        <f>Form13B!D22</f>
        <v>56.260191953964593</v>
      </c>
      <c r="E18" s="516">
        <f>Form13B!E22</f>
        <v>169.75128012674631</v>
      </c>
      <c r="F18" s="516">
        <f>Form13B!F22</f>
        <v>490.9854436485777</v>
      </c>
      <c r="G18" s="647">
        <f>Form13B!G22</f>
        <v>487.24665211093173</v>
      </c>
      <c r="H18" s="647">
        <f>Form13B!H22</f>
        <v>484.39108373618723</v>
      </c>
      <c r="I18" s="647">
        <f>Form13B!I22</f>
        <v>447.72962680815397</v>
      </c>
      <c r="J18" s="647">
        <f>Form13B!J22</f>
        <v>420.5908489130498</v>
      </c>
      <c r="K18" s="647">
        <f>Form13B!K22</f>
        <v>412.40060326412328</v>
      </c>
      <c r="L18" s="1236">
        <f>Form13B!L22</f>
        <v>391.11131209001763</v>
      </c>
    </row>
    <row r="19" spans="1:12" ht="18" customHeight="1">
      <c r="A19" s="797">
        <v>1.3</v>
      </c>
      <c r="B19" s="800" t="s">
        <v>460</v>
      </c>
      <c r="C19" s="513" t="s">
        <v>875</v>
      </c>
      <c r="D19" s="516" t="e">
        <f>'Form 13A'!#REF!</f>
        <v>#REF!</v>
      </c>
      <c r="E19" s="516" t="e">
        <f>'Form 13A'!#REF!</f>
        <v>#REF!</v>
      </c>
      <c r="F19" s="516" t="e">
        <f>'Form 13A'!#REF!</f>
        <v>#REF!</v>
      </c>
      <c r="G19" s="647" t="e">
        <f>'Form 13A'!#REF!</f>
        <v>#REF!</v>
      </c>
      <c r="H19" s="647">
        <f>'Form 13A'!F26</f>
        <v>501.51242829827908</v>
      </c>
      <c r="I19" s="647">
        <f>'Form 13A'!G26</f>
        <v>508.3510994263861</v>
      </c>
      <c r="J19" s="647">
        <f>'Form 13A'!H26</f>
        <v>523.92163479923522</v>
      </c>
      <c r="K19" s="647">
        <f>'Form 13A'!I26</f>
        <v>557.04984703632874</v>
      </c>
      <c r="L19" s="1236">
        <f>'Form 13A'!J26</f>
        <v>581.44619502868068</v>
      </c>
    </row>
    <row r="20" spans="1:12" ht="18" customHeight="1">
      <c r="A20" s="797">
        <v>1.4</v>
      </c>
      <c r="B20" s="528" t="s">
        <v>455</v>
      </c>
      <c r="C20" s="513" t="s">
        <v>452</v>
      </c>
      <c r="D20" s="516">
        <f>'Form-11'!B30</f>
        <v>0</v>
      </c>
      <c r="E20" s="516">
        <f>'Form-11'!C30</f>
        <v>0</v>
      </c>
      <c r="F20" s="516">
        <f>'Form-11'!D30</f>
        <v>16.366881111216344</v>
      </c>
      <c r="G20" s="647">
        <f>'Form-11'!E30</f>
        <v>6.6145700444847648</v>
      </c>
      <c r="H20" s="647">
        <f>'Form-11'!F30</f>
        <v>0</v>
      </c>
      <c r="I20" s="647">
        <f>'Form-11'!G30</f>
        <v>0</v>
      </c>
      <c r="J20" s="647">
        <f>'Form-11'!H30</f>
        <v>0</v>
      </c>
      <c r="K20" s="647">
        <f>'Form-11'!I30</f>
        <v>12.837517754296584</v>
      </c>
      <c r="L20" s="1236">
        <f>'Form-11'!J30</f>
        <v>0</v>
      </c>
    </row>
    <row r="21" spans="1:12" ht="18" customHeight="1">
      <c r="A21" s="797">
        <v>1.5</v>
      </c>
      <c r="B21" s="528" t="s">
        <v>456</v>
      </c>
      <c r="C21" s="513" t="s">
        <v>453</v>
      </c>
      <c r="D21" s="516" t="e">
        <f>'Form 14'!C26</f>
        <v>#REF!</v>
      </c>
      <c r="E21" s="516" t="e">
        <f>'Form 14'!D26</f>
        <v>#REF!</v>
      </c>
      <c r="F21" s="516" t="e">
        <f>'Form 14'!E26</f>
        <v>#REF!</v>
      </c>
      <c r="G21" s="647" t="e">
        <f>'Form 14'!F26</f>
        <v>#REF!</v>
      </c>
      <c r="H21" s="647">
        <f ca="1">'Form 14'!G26</f>
        <v>96.923141151430755</v>
      </c>
      <c r="I21" s="647">
        <f ca="1">'Form 14'!H26</f>
        <v>103.86104796964923</v>
      </c>
      <c r="J21" s="647">
        <f ca="1">'Form 14'!I26</f>
        <v>112.51004102664172</v>
      </c>
      <c r="K21" s="647">
        <f ca="1">'Form 14'!J26</f>
        <v>124.31041312470953</v>
      </c>
      <c r="L21" s="1236">
        <f ca="1">'Form 14'!K26</f>
        <v>135.0644699851193</v>
      </c>
    </row>
    <row r="22" spans="1:12" ht="18" customHeight="1">
      <c r="A22" s="797">
        <v>1.6</v>
      </c>
      <c r="B22" s="528" t="s">
        <v>457</v>
      </c>
      <c r="C22" s="513" t="s">
        <v>876</v>
      </c>
      <c r="D22" s="516" t="e">
        <f>'Form 16-O&amp;M'!#REF!</f>
        <v>#REF!</v>
      </c>
      <c r="E22" s="516" t="e">
        <f>'Form 16-O&amp;M'!#REF!</f>
        <v>#REF!</v>
      </c>
      <c r="F22" s="516" t="e">
        <f>'Form 16-O&amp;M'!#REF!</f>
        <v>#REF!</v>
      </c>
      <c r="G22" s="647" t="e">
        <f>'Form 16-O&amp;M'!#REF!</f>
        <v>#REF!</v>
      </c>
      <c r="H22" s="647">
        <f>'Form 16-O&amp;M'!D93</f>
        <v>229.0060634102822</v>
      </c>
      <c r="I22" s="647">
        <f>'Form 16-O&amp;M'!E93</f>
        <v>242.51059599878982</v>
      </c>
      <c r="J22" s="647">
        <f>'Form 16-O&amp;M'!F93</f>
        <v>256.37426183651507</v>
      </c>
      <c r="K22" s="647">
        <f>'Form 16-O&amp;M'!G93</f>
        <v>277.84304866050672</v>
      </c>
      <c r="L22" s="1236">
        <f>'Form 16-O&amp;M'!H93</f>
        <v>291.39853364301422</v>
      </c>
    </row>
    <row r="23" spans="1:12" ht="18" customHeight="1">
      <c r="A23" s="796"/>
      <c r="B23" s="800"/>
      <c r="C23" s="802"/>
      <c r="D23" s="983"/>
      <c r="E23" s="983"/>
      <c r="F23" s="983"/>
      <c r="G23" s="984"/>
      <c r="H23" s="647"/>
      <c r="I23" s="647"/>
      <c r="J23" s="647"/>
      <c r="K23" s="647"/>
      <c r="L23" s="1236"/>
    </row>
    <row r="24" spans="1:12" ht="18" customHeight="1">
      <c r="A24" s="796"/>
      <c r="B24" s="799" t="s">
        <v>458</v>
      </c>
      <c r="C24" s="802"/>
      <c r="D24" s="509" t="e">
        <f>SUM(D17:D22)</f>
        <v>#REF!</v>
      </c>
      <c r="E24" s="509" t="e">
        <f>SUM(E17:E22)</f>
        <v>#REF!</v>
      </c>
      <c r="F24" s="509" t="e">
        <f>SUM(F17:F22)</f>
        <v>#REF!</v>
      </c>
      <c r="G24" s="648" t="e">
        <f>SUM(G17:G22)</f>
        <v>#REF!</v>
      </c>
      <c r="H24" s="647">
        <f ca="1">SUM(H17:H22)</f>
        <v>1749.1858163476393</v>
      </c>
      <c r="I24" s="647">
        <f t="shared" ref="I24:L24" ca="1" si="0">SUM(I17:I22)</f>
        <v>1745.4763670796219</v>
      </c>
      <c r="J24" s="647">
        <f t="shared" ca="1" si="0"/>
        <v>1770.2716896028032</v>
      </c>
      <c r="K24" s="647">
        <f t="shared" ca="1" si="0"/>
        <v>1870.6265787523348</v>
      </c>
      <c r="L24" s="1236">
        <f t="shared" ca="1" si="0"/>
        <v>1906.4984436796703</v>
      </c>
    </row>
    <row r="25" spans="1:12" ht="18" customHeight="1">
      <c r="A25" s="796"/>
      <c r="B25" s="799"/>
      <c r="C25" s="802"/>
      <c r="D25" s="509"/>
      <c r="E25" s="509"/>
      <c r="F25" s="509"/>
      <c r="G25" s="648"/>
      <c r="H25" s="647"/>
      <c r="I25" s="647"/>
      <c r="J25" s="647"/>
      <c r="K25" s="647"/>
      <c r="L25" s="1236"/>
    </row>
    <row r="26" spans="1:12" ht="18" customHeight="1">
      <c r="A26" s="794">
        <v>2</v>
      </c>
      <c r="B26" s="985" t="s">
        <v>987</v>
      </c>
      <c r="C26" s="802"/>
      <c r="D26" s="983"/>
      <c r="E26" s="983"/>
      <c r="F26" s="983"/>
      <c r="G26" s="984"/>
      <c r="H26" s="647"/>
      <c r="I26" s="647"/>
      <c r="J26" s="647"/>
      <c r="K26" s="647"/>
      <c r="L26" s="1236"/>
    </row>
    <row r="27" spans="1:12" ht="18" customHeight="1">
      <c r="A27" s="796"/>
      <c r="B27" s="800"/>
      <c r="C27" s="802"/>
      <c r="D27" s="986"/>
      <c r="E27" s="987"/>
      <c r="F27" s="987"/>
      <c r="G27" s="988"/>
      <c r="H27" s="647"/>
      <c r="I27" s="647"/>
      <c r="J27" s="647"/>
      <c r="K27" s="647"/>
      <c r="L27" s="1236"/>
    </row>
    <row r="28" spans="1:12" ht="18" customHeight="1">
      <c r="A28" s="798">
        <v>2.1</v>
      </c>
      <c r="B28" s="801" t="s">
        <v>985</v>
      </c>
      <c r="C28" s="802"/>
      <c r="D28" s="562" t="e">
        <f>'Energy Charges'!D23/(1-'Form 3'!#REF!)/100</f>
        <v>#REF!</v>
      </c>
      <c r="E28" s="562" t="e">
        <f>D28</f>
        <v>#REF!</v>
      </c>
      <c r="F28" s="562" t="e">
        <f>E28</f>
        <v>#REF!</v>
      </c>
      <c r="G28" s="649" t="e">
        <f>F28</f>
        <v>#REF!</v>
      </c>
      <c r="H28" s="647">
        <f>ROUND('Energy Charges'!D23/(1-'Energy Charges'!D13)/100,3)</f>
        <v>2.7679999999999998</v>
      </c>
      <c r="I28" s="647">
        <f>ROUND('Energy Charges'!E23/(1-'Energy Charges'!E13)/100,3)</f>
        <v>3.073</v>
      </c>
      <c r="J28" s="647">
        <f>ROUND('Energy Charges'!F23/(1-'Energy Charges'!F13)/100,3)</f>
        <v>3.423</v>
      </c>
      <c r="K28" s="647">
        <f>ROUND('Energy Charges'!G23/(1-'Energy Charges'!G13)/100,3)</f>
        <v>3.8479999999999999</v>
      </c>
      <c r="L28" s="1236">
        <f>ROUND('Energy Charges'!H23/(1-'Energy Charges'!H13)/100,3)</f>
        <v>4.2709999999999999</v>
      </c>
    </row>
    <row r="29" spans="1:12" ht="18" customHeight="1">
      <c r="A29" s="798">
        <v>2.2000000000000002</v>
      </c>
      <c r="B29" s="801" t="s">
        <v>459</v>
      </c>
      <c r="C29" s="802"/>
      <c r="D29" s="562" t="e">
        <f>D30-D28</f>
        <v>#REF!</v>
      </c>
      <c r="E29" s="562" t="e">
        <f t="shared" ref="E29:G30" si="1">D29</f>
        <v>#REF!</v>
      </c>
      <c r="F29" s="562" t="e">
        <f t="shared" si="1"/>
        <v>#REF!</v>
      </c>
      <c r="G29" s="649" t="e">
        <f t="shared" si="1"/>
        <v>#REF!</v>
      </c>
      <c r="H29" s="647">
        <f>H30-H28</f>
        <v>0.1160000000000001</v>
      </c>
      <c r="I29" s="647">
        <f t="shared" ref="I29:L29" si="2">I30-I28</f>
        <v>0.13200000000000012</v>
      </c>
      <c r="J29" s="647">
        <f t="shared" si="2"/>
        <v>0.15300000000000002</v>
      </c>
      <c r="K29" s="647">
        <f t="shared" si="2"/>
        <v>0.17799999999999994</v>
      </c>
      <c r="L29" s="1236">
        <f t="shared" si="2"/>
        <v>0.20500000000000007</v>
      </c>
    </row>
    <row r="30" spans="1:12" ht="18" customHeight="1">
      <c r="A30" s="798">
        <v>2.2999999999999998</v>
      </c>
      <c r="B30" s="801" t="s">
        <v>986</v>
      </c>
      <c r="C30" s="802"/>
      <c r="D30" s="563">
        <f>'Energy Charges'!D24/100</f>
        <v>2.8839999999999999</v>
      </c>
      <c r="E30" s="563">
        <f>D30</f>
        <v>2.8839999999999999</v>
      </c>
      <c r="F30" s="563">
        <f t="shared" si="1"/>
        <v>2.8839999999999999</v>
      </c>
      <c r="G30" s="650">
        <f t="shared" si="1"/>
        <v>2.8839999999999999</v>
      </c>
      <c r="H30" s="647">
        <f>'Energy Charges'!D24/100</f>
        <v>2.8839999999999999</v>
      </c>
      <c r="I30" s="647">
        <f>'Energy Charges'!E24/100</f>
        <v>3.2050000000000001</v>
      </c>
      <c r="J30" s="647">
        <f>'Energy Charges'!F24/100</f>
        <v>3.5760000000000001</v>
      </c>
      <c r="K30" s="647">
        <f>'Energy Charges'!G24/100</f>
        <v>4.0259999999999998</v>
      </c>
      <c r="L30" s="1236">
        <f>'Energy Charges'!H24/100</f>
        <v>4.476</v>
      </c>
    </row>
    <row r="31" spans="1:12" ht="11.25" customHeight="1">
      <c r="A31" s="989"/>
      <c r="B31" s="990"/>
      <c r="C31" s="1073"/>
      <c r="D31" s="1073"/>
      <c r="E31" s="1073"/>
      <c r="F31" s="1073"/>
      <c r="G31" s="1073"/>
      <c r="L31" s="884"/>
    </row>
    <row r="32" spans="1:12" ht="18.75" customHeight="1">
      <c r="A32" s="991"/>
      <c r="B32" s="992"/>
      <c r="C32" s="992"/>
      <c r="D32" s="992"/>
      <c r="E32" s="992"/>
      <c r="F32" s="992"/>
      <c r="G32" s="992"/>
      <c r="H32" s="992"/>
      <c r="I32" s="992"/>
      <c r="J32" s="992"/>
      <c r="K32" s="992"/>
      <c r="L32" s="993"/>
    </row>
    <row r="33" spans="1:12" ht="20.25" customHeight="1">
      <c r="A33" s="991"/>
      <c r="B33" s="992"/>
      <c r="C33" s="992"/>
      <c r="D33" s="992"/>
      <c r="E33" s="992"/>
      <c r="F33" s="992"/>
      <c r="G33" s="992"/>
      <c r="H33" s="992"/>
      <c r="I33" s="992"/>
      <c r="J33" s="992"/>
      <c r="K33" s="992"/>
      <c r="L33" s="993"/>
    </row>
    <row r="34" spans="1:12" ht="20.25" customHeight="1">
      <c r="A34" s="1495"/>
      <c r="B34" s="1496"/>
      <c r="C34" s="1496"/>
      <c r="D34" s="1496"/>
      <c r="E34" s="1496"/>
      <c r="F34" s="1496"/>
      <c r="G34" s="1496"/>
      <c r="H34" s="1496"/>
      <c r="I34" s="1496"/>
      <c r="J34" s="1496"/>
      <c r="K34" s="1496"/>
      <c r="L34" s="1497"/>
    </row>
    <row r="35" spans="1:12" ht="43.15" customHeight="1">
      <c r="A35" s="1501" t="s">
        <v>1391</v>
      </c>
      <c r="B35" s="1502"/>
      <c r="C35" s="1502"/>
      <c r="D35" s="1502"/>
      <c r="E35" s="1502"/>
      <c r="F35" s="1502"/>
      <c r="G35" s="1502"/>
      <c r="H35" s="1502"/>
      <c r="I35" s="1502"/>
      <c r="J35" s="1502"/>
      <c r="K35" s="1502"/>
      <c r="L35" s="1503"/>
    </row>
    <row r="36" spans="1:12" ht="9.9499999999999993" customHeight="1">
      <c r="A36" s="971"/>
      <c r="L36" s="884"/>
    </row>
    <row r="37" spans="1:12" ht="9.9499999999999993" customHeight="1">
      <c r="A37" s="971"/>
      <c r="L37" s="884"/>
    </row>
    <row r="38" spans="1:12" ht="9.9499999999999993" customHeight="1">
      <c r="A38" s="971"/>
      <c r="L38" s="884"/>
    </row>
    <row r="39" spans="1:12">
      <c r="A39" s="971"/>
      <c r="L39" s="884"/>
    </row>
    <row r="40" spans="1:12">
      <c r="A40" s="971"/>
      <c r="L40" s="884"/>
    </row>
    <row r="41" spans="1:12" ht="14.25">
      <c r="A41" s="971"/>
      <c r="E41" s="995"/>
      <c r="J41" s="1494" t="s">
        <v>822</v>
      </c>
      <c r="K41" s="1494"/>
      <c r="L41" s="884"/>
    </row>
    <row r="42" spans="1:12" ht="13.5" thickBot="1">
      <c r="A42" s="549"/>
      <c r="B42" s="885"/>
      <c r="C42" s="885"/>
      <c r="D42" s="885"/>
      <c r="E42" s="885"/>
      <c r="F42" s="885"/>
      <c r="G42" s="885"/>
      <c r="H42" s="885"/>
      <c r="I42" s="885"/>
      <c r="J42" s="885"/>
      <c r="K42" s="885"/>
      <c r="L42" s="886"/>
    </row>
    <row r="46" spans="1:12">
      <c r="C46" s="1237" t="s">
        <v>989</v>
      </c>
      <c r="D46" s="1126" t="e">
        <f>D24+#REF!</f>
        <v>#REF!</v>
      </c>
      <c r="E46" s="1126" t="e">
        <f>E24+#REF!</f>
        <v>#REF!</v>
      </c>
      <c r="F46" s="1126" t="e">
        <f>F24+#REF!</f>
        <v>#REF!</v>
      </c>
      <c r="G46" s="1126" t="e">
        <f>G24+#REF!</f>
        <v>#REF!</v>
      </c>
      <c r="H46" s="1126">
        <f ca="1">H24</f>
        <v>1749.1858163476393</v>
      </c>
      <c r="I46" s="1126">
        <f ca="1">I24</f>
        <v>1745.4763670796219</v>
      </c>
      <c r="J46" s="1126">
        <f ca="1">J24</f>
        <v>1770.2716896028032</v>
      </c>
      <c r="K46" s="1126">
        <f ca="1">K24</f>
        <v>1870.6265787523348</v>
      </c>
      <c r="L46" s="1126">
        <f ca="1">L24</f>
        <v>1906.4984436796703</v>
      </c>
    </row>
    <row r="47" spans="1:12">
      <c r="C47" s="1238" t="s">
        <v>585</v>
      </c>
      <c r="D47" s="1239">
        <f>'Form 14'!C37</f>
        <v>784.42191780821918</v>
      </c>
      <c r="E47" s="1239">
        <f>'Form 14'!D37</f>
        <v>2768.5479452054797</v>
      </c>
      <c r="F47" s="1239">
        <f>'Form 14'!E37</f>
        <v>8421</v>
      </c>
      <c r="G47" s="1239">
        <f>'Form 14'!F37</f>
        <v>8421</v>
      </c>
      <c r="H47" s="1237">
        <f>'Form 14'!G15/'Form 1'!H28*60</f>
        <v>8432.6400000000012</v>
      </c>
      <c r="I47" s="1237">
        <f>'Form 14'!H15/'Form 1'!I28*60</f>
        <v>8409.6000000000022</v>
      </c>
      <c r="J47" s="1237">
        <f>'Form 14'!I15/'Form 1'!J28*60</f>
        <v>8409.6</v>
      </c>
      <c r="K47" s="1237">
        <f>'Form 14'!J15/'Form 1'!K28*60</f>
        <v>8409.6000000000022</v>
      </c>
      <c r="L47" s="1237">
        <f>'Form 14'!K15/'Form 1'!L28*60</f>
        <v>8432.6400000000031</v>
      </c>
    </row>
    <row r="48" spans="1:12">
      <c r="C48" s="1238" t="s">
        <v>990</v>
      </c>
      <c r="D48" s="1126" t="e">
        <f>D24*10/D47</f>
        <v>#REF!</v>
      </c>
      <c r="E48" s="1126" t="e">
        <f>E24*10/E47</f>
        <v>#REF!</v>
      </c>
      <c r="F48" s="1126" t="e">
        <f>F24*10/F47</f>
        <v>#REF!</v>
      </c>
      <c r="G48" s="1126" t="e">
        <f>G24*10/G47</f>
        <v>#REF!</v>
      </c>
      <c r="H48" s="1126">
        <f ca="1">H46/(H47/10)</f>
        <v>2.0743039147261579</v>
      </c>
      <c r="I48" s="1126">
        <f t="shared" ref="I48:L48" ca="1" si="3">I46/(I47/10)</f>
        <v>2.0755759692251967</v>
      </c>
      <c r="J48" s="1126">
        <f t="shared" ca="1" si="3"/>
        <v>2.1050605137019636</v>
      </c>
      <c r="K48" s="1126">
        <f t="shared" ca="1" si="3"/>
        <v>2.2243942384326654</v>
      </c>
      <c r="L48" s="1126">
        <f t="shared" ca="1" si="3"/>
        <v>2.2608559640630568</v>
      </c>
    </row>
    <row r="49" spans="3:12">
      <c r="C49" s="1238" t="s">
        <v>1262</v>
      </c>
      <c r="D49" s="1237"/>
      <c r="E49" s="1237"/>
      <c r="F49" s="1237"/>
      <c r="G49" s="1237"/>
      <c r="H49" s="1126">
        <f>H30</f>
        <v>2.8839999999999999</v>
      </c>
      <c r="I49" s="1126">
        <f>I30</f>
        <v>3.2050000000000001</v>
      </c>
      <c r="J49" s="1126">
        <f>J30</f>
        <v>3.5760000000000001</v>
      </c>
      <c r="K49" s="1126">
        <f>K30</f>
        <v>4.0259999999999998</v>
      </c>
      <c r="L49" s="1126">
        <f>L30</f>
        <v>4.476</v>
      </c>
    </row>
    <row r="50" spans="3:12">
      <c r="C50" s="1238" t="s">
        <v>1263</v>
      </c>
      <c r="D50" s="1237"/>
      <c r="E50" s="1237"/>
      <c r="F50" s="1237"/>
      <c r="G50" s="1237"/>
      <c r="H50" s="1126">
        <f ca="1">H48+H49</f>
        <v>4.9583039147261578</v>
      </c>
      <c r="I50" s="1126">
        <f t="shared" ref="I50:L50" ca="1" si="4">I48+I49</f>
        <v>5.2805759692251968</v>
      </c>
      <c r="J50" s="1126">
        <f t="shared" ca="1" si="4"/>
        <v>5.6810605137019632</v>
      </c>
      <c r="K50" s="1126">
        <f t="shared" ca="1" si="4"/>
        <v>6.2503942384326656</v>
      </c>
      <c r="L50" s="1126">
        <f t="shared" ca="1" si="4"/>
        <v>6.7368559640630572</v>
      </c>
    </row>
    <row r="52" spans="3:12">
      <c r="C52" s="978"/>
      <c r="D52" s="996">
        <v>42638</v>
      </c>
      <c r="E52" s="883">
        <f>D53-D52</f>
        <v>68</v>
      </c>
    </row>
    <row r="53" spans="3:12">
      <c r="C53" s="978"/>
      <c r="D53" s="997">
        <v>42706</v>
      </c>
    </row>
    <row r="54" spans="3:12">
      <c r="D54" s="996">
        <v>42825</v>
      </c>
      <c r="E54" s="883">
        <f>D54-D53+1</f>
        <v>120</v>
      </c>
    </row>
  </sheetData>
  <mergeCells count="4">
    <mergeCell ref="J41:K41"/>
    <mergeCell ref="A34:L34"/>
    <mergeCell ref="A4:L4"/>
    <mergeCell ref="A35:L35"/>
  </mergeCells>
  <pageMargins left="0.70866141732283472" right="0.70866141732283472" top="0.74803149606299213" bottom="0.74803149606299213" header="0.31496062992125984" footer="0.31496062992125984"/>
  <pageSetup paperSize="9" scale="59" orientation="landscape" horizontalDpi="4294967293" r:id="rId1"/>
</worksheet>
</file>

<file path=xl/worksheets/sheet6.xml><?xml version="1.0" encoding="utf-8"?>
<worksheet xmlns="http://schemas.openxmlformats.org/spreadsheetml/2006/main" xmlns:r="http://schemas.openxmlformats.org/officeDocument/2006/relationships">
  <sheetPr>
    <tabColor rgb="FF00B050"/>
    <pageSetUpPr fitToPage="1"/>
  </sheetPr>
  <dimension ref="A1:E32"/>
  <sheetViews>
    <sheetView workbookViewId="0">
      <selection activeCell="K30" sqref="K30"/>
    </sheetView>
  </sheetViews>
  <sheetFormatPr defaultColWidth="9.33203125" defaultRowHeight="15"/>
  <cols>
    <col min="1" max="1" width="40.1640625" style="998" customWidth="1"/>
    <col min="2" max="2" width="13.83203125" style="998" customWidth="1"/>
    <col min="3" max="3" width="10.83203125" style="998" customWidth="1"/>
    <col min="4" max="4" width="12" style="998" customWidth="1"/>
    <col min="5" max="5" width="29.33203125" style="998" customWidth="1"/>
    <col min="6" max="16384" width="9.33203125" style="998"/>
  </cols>
  <sheetData>
    <row r="1" spans="1:5" ht="15.75" thickBot="1"/>
    <row r="2" spans="1:5">
      <c r="A2" s="999"/>
      <c r="B2" s="1000"/>
      <c r="C2" s="1000"/>
      <c r="D2" s="1000"/>
      <c r="E2" s="1001" t="s">
        <v>414</v>
      </c>
    </row>
    <row r="3" spans="1:5">
      <c r="A3" s="1002"/>
      <c r="E3" s="1003" t="s">
        <v>493</v>
      </c>
    </row>
    <row r="4" spans="1:5" ht="21">
      <c r="A4" s="1507" t="s">
        <v>494</v>
      </c>
      <c r="B4" s="1508"/>
      <c r="C4" s="1508"/>
      <c r="D4" s="1508"/>
      <c r="E4" s="1509"/>
    </row>
    <row r="5" spans="1:5">
      <c r="A5" s="1528"/>
      <c r="B5" s="1529"/>
      <c r="C5" s="1529"/>
      <c r="D5" s="1529"/>
      <c r="E5" s="1530"/>
    </row>
    <row r="6" spans="1:5" ht="28.5" customHeight="1">
      <c r="A6" s="778" t="s">
        <v>1031</v>
      </c>
      <c r="B6" s="1524" t="s">
        <v>464</v>
      </c>
      <c r="C6" s="1524"/>
      <c r="D6" s="1524"/>
      <c r="E6" s="1525"/>
    </row>
    <row r="7" spans="1:5">
      <c r="A7" s="778" t="s">
        <v>1032</v>
      </c>
      <c r="B7" s="1524" t="s">
        <v>461</v>
      </c>
      <c r="C7" s="1524"/>
      <c r="D7" s="1524"/>
      <c r="E7" s="1525"/>
    </row>
    <row r="8" spans="1:5" ht="42.75" customHeight="1">
      <c r="A8" s="778" t="s">
        <v>465</v>
      </c>
      <c r="B8" s="1524" t="s">
        <v>466</v>
      </c>
      <c r="C8" s="1524"/>
      <c r="D8" s="1524"/>
      <c r="E8" s="1525"/>
    </row>
    <row r="9" spans="1:5">
      <c r="A9" s="778" t="s">
        <v>467</v>
      </c>
      <c r="B9" s="1522" t="s">
        <v>352</v>
      </c>
      <c r="C9" s="1522"/>
      <c r="D9" s="1522"/>
      <c r="E9" s="1523"/>
    </row>
    <row r="10" spans="1:5">
      <c r="A10" s="778" t="s">
        <v>469</v>
      </c>
      <c r="B10" s="1524" t="s">
        <v>470</v>
      </c>
      <c r="C10" s="1524"/>
      <c r="D10" s="1524"/>
      <c r="E10" s="1525"/>
    </row>
    <row r="11" spans="1:5">
      <c r="A11" s="778" t="s">
        <v>471</v>
      </c>
      <c r="B11" s="1522" t="s">
        <v>352</v>
      </c>
      <c r="C11" s="1522"/>
      <c r="D11" s="1522"/>
      <c r="E11" s="1523"/>
    </row>
    <row r="12" spans="1:5" ht="28.5" customHeight="1">
      <c r="A12" s="778" t="s">
        <v>472</v>
      </c>
      <c r="B12" s="1524" t="s">
        <v>473</v>
      </c>
      <c r="C12" s="1524"/>
      <c r="D12" s="1524"/>
      <c r="E12" s="1525"/>
    </row>
    <row r="13" spans="1:5">
      <c r="A13" s="778" t="s">
        <v>474</v>
      </c>
      <c r="B13" s="1522" t="s">
        <v>468</v>
      </c>
      <c r="C13" s="1522"/>
      <c r="D13" s="1522"/>
      <c r="E13" s="1523"/>
    </row>
    <row r="14" spans="1:5">
      <c r="A14" s="1526" t="s">
        <v>475</v>
      </c>
      <c r="B14" s="442" t="s">
        <v>476</v>
      </c>
      <c r="C14" s="1520" t="s">
        <v>477</v>
      </c>
      <c r="D14" s="1520"/>
      <c r="E14" s="218" t="s">
        <v>478</v>
      </c>
    </row>
    <row r="15" spans="1:5" ht="23.45" customHeight="1">
      <c r="A15" s="1526"/>
      <c r="B15" s="443" t="s">
        <v>495</v>
      </c>
      <c r="C15" s="1527" t="s">
        <v>479</v>
      </c>
      <c r="D15" s="1527"/>
      <c r="E15" s="334" t="s">
        <v>480</v>
      </c>
    </row>
    <row r="16" spans="1:5">
      <c r="A16" s="778" t="s">
        <v>481</v>
      </c>
      <c r="B16" s="1520" t="s">
        <v>482</v>
      </c>
      <c r="C16" s="1520"/>
      <c r="D16" s="1520" t="s">
        <v>483</v>
      </c>
      <c r="E16" s="1521"/>
    </row>
    <row r="17" spans="1:5">
      <c r="A17" s="197" t="s">
        <v>484</v>
      </c>
      <c r="B17" s="1518" t="s">
        <v>485</v>
      </c>
      <c r="C17" s="1518"/>
      <c r="D17" s="1518" t="s">
        <v>485</v>
      </c>
      <c r="E17" s="1519"/>
    </row>
    <row r="18" spans="1:5" ht="28.5" customHeight="1">
      <c r="A18" s="197" t="s">
        <v>486</v>
      </c>
      <c r="B18" s="1518" t="s">
        <v>496</v>
      </c>
      <c r="C18" s="1518"/>
      <c r="D18" s="1518" t="s">
        <v>497</v>
      </c>
      <c r="E18" s="1519"/>
    </row>
    <row r="19" spans="1:5" ht="28.5" customHeight="1">
      <c r="A19" s="197" t="s">
        <v>487</v>
      </c>
      <c r="B19" s="1518" t="s">
        <v>488</v>
      </c>
      <c r="C19" s="1518"/>
      <c r="D19" s="1518" t="s">
        <v>488</v>
      </c>
      <c r="E19" s="1519"/>
    </row>
    <row r="20" spans="1:5" ht="57" customHeight="1">
      <c r="A20" s="197" t="s">
        <v>489</v>
      </c>
      <c r="B20" s="1518" t="s">
        <v>490</v>
      </c>
      <c r="C20" s="1518"/>
      <c r="D20" s="1518" t="s">
        <v>490</v>
      </c>
      <c r="E20" s="1519"/>
    </row>
    <row r="21" spans="1:5" ht="24">
      <c r="A21" s="197" t="s">
        <v>491</v>
      </c>
      <c r="B21" s="1518" t="s">
        <v>492</v>
      </c>
      <c r="C21" s="1518"/>
      <c r="D21" s="1518" t="s">
        <v>492</v>
      </c>
      <c r="E21" s="1519"/>
    </row>
    <row r="22" spans="1:5">
      <c r="A22" s="1512"/>
      <c r="B22" s="1513"/>
      <c r="C22" s="1513"/>
      <c r="D22" s="1513"/>
      <c r="E22" s="1514"/>
    </row>
    <row r="23" spans="1:5" ht="42" customHeight="1">
      <c r="A23" s="1515" t="s">
        <v>1058</v>
      </c>
      <c r="B23" s="1516"/>
      <c r="C23" s="1516"/>
      <c r="D23" s="1516"/>
      <c r="E23" s="1517"/>
    </row>
    <row r="24" spans="1:5" ht="27.75" customHeight="1">
      <c r="A24" s="1504" t="s">
        <v>1059</v>
      </c>
      <c r="B24" s="1505"/>
      <c r="C24" s="1505"/>
      <c r="D24" s="1505"/>
      <c r="E24" s="1506"/>
    </row>
    <row r="25" spans="1:5" ht="22.15" customHeight="1">
      <c r="A25" s="1504" t="s">
        <v>1060</v>
      </c>
      <c r="B25" s="1505"/>
      <c r="C25" s="1505"/>
      <c r="D25" s="1505"/>
      <c r="E25" s="1506"/>
    </row>
    <row r="26" spans="1:5" ht="25.9" customHeight="1">
      <c r="A26" s="1504" t="s">
        <v>1061</v>
      </c>
      <c r="B26" s="1505"/>
      <c r="C26" s="1505"/>
      <c r="D26" s="1505"/>
      <c r="E26" s="1506"/>
    </row>
    <row r="27" spans="1:5" ht="21.75" customHeight="1">
      <c r="A27" s="1504" t="s">
        <v>1062</v>
      </c>
      <c r="B27" s="1505"/>
      <c r="C27" s="1505"/>
      <c r="D27" s="1505"/>
      <c r="E27" s="1506"/>
    </row>
    <row r="28" spans="1:5" ht="29.25" customHeight="1">
      <c r="A28" s="1504" t="s">
        <v>1063</v>
      </c>
      <c r="B28" s="1505"/>
      <c r="C28" s="1505"/>
      <c r="D28" s="1505"/>
      <c r="E28" s="1506"/>
    </row>
    <row r="29" spans="1:5" ht="29.25" customHeight="1">
      <c r="A29" s="1504" t="s">
        <v>1064</v>
      </c>
      <c r="B29" s="1505"/>
      <c r="C29" s="1505"/>
      <c r="D29" s="1505"/>
      <c r="E29" s="1506"/>
    </row>
    <row r="30" spans="1:5">
      <c r="A30" s="1002"/>
      <c r="E30" s="1004"/>
    </row>
    <row r="31" spans="1:5">
      <c r="A31" s="1002"/>
      <c r="E31" s="1004"/>
    </row>
    <row r="32" spans="1:5" ht="15.75" thickBot="1">
      <c r="A32" s="1005"/>
      <c r="B32" s="1006"/>
      <c r="C32" s="1006"/>
      <c r="D32" s="1510" t="s">
        <v>822</v>
      </c>
      <c r="E32" s="1511"/>
    </row>
  </sheetData>
  <mergeCells count="34">
    <mergeCell ref="B10:E10"/>
    <mergeCell ref="A5:E5"/>
    <mergeCell ref="B6:E6"/>
    <mergeCell ref="B7:E7"/>
    <mergeCell ref="B8:E8"/>
    <mergeCell ref="B9:E9"/>
    <mergeCell ref="B11:E11"/>
    <mergeCell ref="B12:E12"/>
    <mergeCell ref="B13:E13"/>
    <mergeCell ref="A14:A15"/>
    <mergeCell ref="C14:D14"/>
    <mergeCell ref="C15:D15"/>
    <mergeCell ref="B16:C16"/>
    <mergeCell ref="D16:E16"/>
    <mergeCell ref="B17:C17"/>
    <mergeCell ref="D17:E17"/>
    <mergeCell ref="B18:C18"/>
    <mergeCell ref="D18:E18"/>
    <mergeCell ref="A28:E28"/>
    <mergeCell ref="A29:E29"/>
    <mergeCell ref="A4:E4"/>
    <mergeCell ref="D32:E32"/>
    <mergeCell ref="A22:E22"/>
    <mergeCell ref="A23:E23"/>
    <mergeCell ref="A24:E24"/>
    <mergeCell ref="A25:E25"/>
    <mergeCell ref="A26:E26"/>
    <mergeCell ref="A27:E27"/>
    <mergeCell ref="B19:C19"/>
    <mergeCell ref="D19:E19"/>
    <mergeCell ref="B20:C20"/>
    <mergeCell ref="D20:E20"/>
    <mergeCell ref="B21:C21"/>
    <mergeCell ref="D21:E21"/>
  </mergeCells>
  <pageMargins left="0.7" right="0.7" top="0.75" bottom="0.75" header="0.3" footer="0.3"/>
  <pageSetup paperSize="9" orientation="portrait" verticalDpi="4294967295" r:id="rId1"/>
</worksheet>
</file>

<file path=xl/worksheets/sheet7.xml><?xml version="1.0" encoding="utf-8"?>
<worksheet xmlns="http://schemas.openxmlformats.org/spreadsheetml/2006/main" xmlns:r="http://schemas.openxmlformats.org/officeDocument/2006/relationships">
  <sheetPr>
    <tabColor rgb="FF00B050"/>
    <pageSetUpPr fitToPage="1"/>
  </sheetPr>
  <dimension ref="A1:K40"/>
  <sheetViews>
    <sheetView topLeftCell="A7" workbookViewId="0">
      <selection activeCell="A34" sqref="A34:D34"/>
    </sheetView>
  </sheetViews>
  <sheetFormatPr defaultRowHeight="12.75"/>
  <cols>
    <col min="1" max="1" width="35.83203125" customWidth="1"/>
    <col min="2" max="2" width="14" customWidth="1"/>
    <col min="3" max="3" width="18" customWidth="1"/>
    <col min="4" max="4" width="14.83203125" customWidth="1"/>
    <col min="5" max="5" width="14.5" customWidth="1"/>
    <col min="6" max="6" width="13.83203125" customWidth="1"/>
    <col min="7" max="8" width="14.1640625" customWidth="1"/>
  </cols>
  <sheetData>
    <row r="1" spans="1:8">
      <c r="A1" s="169"/>
      <c r="B1" s="170"/>
      <c r="C1" s="170"/>
      <c r="D1" s="170"/>
      <c r="E1" s="170"/>
      <c r="F1" s="170"/>
      <c r="G1" s="756" t="s">
        <v>414</v>
      </c>
      <c r="H1" s="171"/>
    </row>
    <row r="2" spans="1:8">
      <c r="A2" s="448"/>
      <c r="G2" s="757" t="s">
        <v>463</v>
      </c>
      <c r="H2" s="449"/>
    </row>
    <row r="3" spans="1:8" ht="18" customHeight="1">
      <c r="A3" s="1531" t="s">
        <v>462</v>
      </c>
      <c r="B3" s="1532"/>
      <c r="C3" s="1532"/>
      <c r="D3" s="1532"/>
      <c r="E3" s="1532"/>
      <c r="F3" s="1532"/>
      <c r="G3" s="1532"/>
      <c r="H3" s="1533"/>
    </row>
    <row r="4" spans="1:8" ht="14.25">
      <c r="A4" s="651"/>
      <c r="B4" s="652"/>
      <c r="C4" s="652"/>
      <c r="H4" s="449"/>
    </row>
    <row r="5" spans="1:8" ht="15.75">
      <c r="A5" s="731" t="s">
        <v>449</v>
      </c>
      <c r="B5" s="179"/>
      <c r="D5" s="184" t="s">
        <v>996</v>
      </c>
      <c r="H5" s="449"/>
    </row>
    <row r="6" spans="1:8" ht="15.75">
      <c r="A6" s="732" t="s">
        <v>448</v>
      </c>
      <c r="B6" s="181"/>
      <c r="D6" s="184" t="s">
        <v>461</v>
      </c>
      <c r="H6" s="449"/>
    </row>
    <row r="7" spans="1:8" ht="15">
      <c r="A7" s="182"/>
      <c r="B7" s="180"/>
      <c r="C7" s="180"/>
      <c r="H7" s="449"/>
    </row>
    <row r="8" spans="1:8" ht="15.75">
      <c r="A8" s="979" t="s">
        <v>999</v>
      </c>
      <c r="D8" s="533" t="s">
        <v>451</v>
      </c>
      <c r="H8" s="449"/>
    </row>
    <row r="9" spans="1:8">
      <c r="A9" s="448"/>
      <c r="H9" s="449"/>
    </row>
    <row r="10" spans="1:8" ht="15" customHeight="1">
      <c r="A10" s="1535" t="s">
        <v>418</v>
      </c>
      <c r="B10" s="1536" t="s">
        <v>392</v>
      </c>
      <c r="C10" s="1537" t="s">
        <v>1057</v>
      </c>
      <c r="D10" s="1538"/>
      <c r="E10" s="1538"/>
      <c r="F10" s="1538"/>
      <c r="G10" s="1538"/>
      <c r="H10" s="1539"/>
    </row>
    <row r="11" spans="1:8" ht="13.5" customHeight="1">
      <c r="A11" s="1535"/>
      <c r="B11" s="1536"/>
      <c r="C11" s="783"/>
      <c r="D11" s="1540"/>
      <c r="E11" s="1540"/>
      <c r="F11" s="1540"/>
      <c r="G11" s="1540"/>
      <c r="H11" s="1541"/>
    </row>
    <row r="12" spans="1:8" ht="52.5" customHeight="1">
      <c r="A12" s="1535"/>
      <c r="B12" s="1536"/>
      <c r="C12" s="653" t="s">
        <v>1175</v>
      </c>
      <c r="D12" s="728" t="s">
        <v>1016</v>
      </c>
      <c r="E12" s="728" t="s">
        <v>1017</v>
      </c>
      <c r="F12" s="729" t="s">
        <v>1018</v>
      </c>
      <c r="G12" s="729" t="s">
        <v>1019</v>
      </c>
      <c r="H12" s="730" t="s">
        <v>1020</v>
      </c>
    </row>
    <row r="13" spans="1:8" ht="12" customHeight="1">
      <c r="A13" s="262">
        <v>-1</v>
      </c>
      <c r="B13" s="727"/>
      <c r="C13" s="1046">
        <v>-2</v>
      </c>
      <c r="D13" s="881"/>
      <c r="E13" s="881"/>
      <c r="F13" s="881"/>
      <c r="G13" s="881"/>
      <c r="H13" s="882"/>
    </row>
    <row r="14" spans="1:8" ht="12" customHeight="1">
      <c r="A14" s="188" t="s">
        <v>3</v>
      </c>
      <c r="B14" s="1048" t="s">
        <v>313</v>
      </c>
      <c r="C14" s="1049">
        <v>0.155</v>
      </c>
      <c r="D14" s="1050">
        <f t="shared" ref="D14:E16" si="0">C14</f>
        <v>0.155</v>
      </c>
      <c r="E14" s="1050">
        <f t="shared" si="0"/>
        <v>0.155</v>
      </c>
      <c r="F14" s="1050">
        <f t="shared" ref="F14:H16" si="1">E14</f>
        <v>0.155</v>
      </c>
      <c r="G14" s="1050">
        <f t="shared" si="1"/>
        <v>0.155</v>
      </c>
      <c r="H14" s="1051">
        <f t="shared" si="1"/>
        <v>0.155</v>
      </c>
    </row>
    <row r="15" spans="1:8" ht="14.45" customHeight="1">
      <c r="A15" s="188" t="s">
        <v>4</v>
      </c>
      <c r="B15" s="1048" t="s">
        <v>313</v>
      </c>
      <c r="C15" s="1068">
        <v>0.8</v>
      </c>
      <c r="D15" s="1052">
        <f t="shared" si="0"/>
        <v>0.8</v>
      </c>
      <c r="E15" s="1052">
        <f t="shared" si="0"/>
        <v>0.8</v>
      </c>
      <c r="F15" s="1052">
        <f t="shared" si="1"/>
        <v>0.8</v>
      </c>
      <c r="G15" s="1052">
        <f t="shared" si="1"/>
        <v>0.8</v>
      </c>
      <c r="H15" s="1053">
        <f t="shared" si="1"/>
        <v>0.8</v>
      </c>
    </row>
    <row r="16" spans="1:8" ht="14.1" customHeight="1">
      <c r="A16" s="188" t="s">
        <v>5</v>
      </c>
      <c r="B16" s="1048" t="s">
        <v>313</v>
      </c>
      <c r="C16" s="1068">
        <v>0.8</v>
      </c>
      <c r="D16" s="1052">
        <f t="shared" si="0"/>
        <v>0.8</v>
      </c>
      <c r="E16" s="1052">
        <f t="shared" si="0"/>
        <v>0.8</v>
      </c>
      <c r="F16" s="1052">
        <f t="shared" si="1"/>
        <v>0.8</v>
      </c>
      <c r="G16" s="1052">
        <f t="shared" si="1"/>
        <v>0.8</v>
      </c>
      <c r="H16" s="1053">
        <f t="shared" si="1"/>
        <v>0.8</v>
      </c>
    </row>
    <row r="17" spans="1:11" ht="28.15" customHeight="1">
      <c r="A17" s="188" t="s">
        <v>6</v>
      </c>
      <c r="B17" s="1048" t="s">
        <v>313</v>
      </c>
      <c r="C17" s="1059" t="s">
        <v>1162</v>
      </c>
      <c r="D17" s="1050">
        <f>7%</f>
        <v>7.0000000000000007E-2</v>
      </c>
      <c r="E17" s="1050">
        <v>7.0000000000000007E-2</v>
      </c>
      <c r="F17" s="1223">
        <f>7%+0.33%</f>
        <v>7.3300000000000004E-2</v>
      </c>
      <c r="G17" s="1050">
        <f>7%+1.5%</f>
        <v>8.5000000000000006E-2</v>
      </c>
      <c r="H17" s="1051">
        <f>7%+1.5%</f>
        <v>8.5000000000000006E-2</v>
      </c>
    </row>
    <row r="18" spans="1:11" ht="12" customHeight="1">
      <c r="A18" s="188" t="s">
        <v>7</v>
      </c>
      <c r="B18" s="1048" t="s">
        <v>1176</v>
      </c>
      <c r="C18" s="1069">
        <v>2400</v>
      </c>
      <c r="D18" s="1054">
        <f>C18</f>
        <v>2400</v>
      </c>
      <c r="E18" s="1054">
        <f>D18</f>
        <v>2400</v>
      </c>
      <c r="F18" s="1054">
        <f>E18</f>
        <v>2400</v>
      </c>
      <c r="G18" s="1054">
        <f>F18</f>
        <v>2400</v>
      </c>
      <c r="H18" s="1055">
        <f>G18</f>
        <v>2400</v>
      </c>
    </row>
    <row r="19" spans="1:11" ht="12" customHeight="1">
      <c r="A19" s="188" t="s">
        <v>8</v>
      </c>
      <c r="B19" s="1048" t="s">
        <v>315</v>
      </c>
      <c r="C19" s="1070">
        <v>2</v>
      </c>
      <c r="D19" s="1054">
        <f>C19</f>
        <v>2</v>
      </c>
      <c r="E19" s="1054">
        <v>2</v>
      </c>
      <c r="F19" s="1054">
        <v>2</v>
      </c>
      <c r="G19" s="1054">
        <v>2</v>
      </c>
      <c r="H19" s="1055">
        <v>2</v>
      </c>
    </row>
    <row r="20" spans="1:11" ht="48.75" customHeight="1">
      <c r="A20" s="782" t="s">
        <v>9</v>
      </c>
      <c r="B20" s="1048" t="s">
        <v>1174</v>
      </c>
      <c r="C20" s="1056" t="s">
        <v>1163</v>
      </c>
      <c r="D20" s="1054">
        <f>'Form 16-O&amp;M'!D93</f>
        <v>229.0060634102822</v>
      </c>
      <c r="E20" s="1054">
        <f>'Form 16-O&amp;M'!E93</f>
        <v>242.51059599878982</v>
      </c>
      <c r="F20" s="1054">
        <f>'Form 16-O&amp;M'!F93</f>
        <v>256.37426183651507</v>
      </c>
      <c r="G20" s="1054">
        <f>'Form 16-O&amp;M'!G93</f>
        <v>277.84304866050672</v>
      </c>
      <c r="H20" s="1055">
        <f>'Form 16-O&amp;M'!H93</f>
        <v>291.39853364301422</v>
      </c>
      <c r="K20" s="260">
        <f>8.14*12*15%</f>
        <v>14.652000000000001</v>
      </c>
    </row>
    <row r="21" spans="1:11" ht="13.7" customHeight="1">
      <c r="A21" s="188" t="s">
        <v>1166</v>
      </c>
      <c r="B21" s="1048" t="s">
        <v>1177</v>
      </c>
      <c r="C21" s="1070">
        <f>'[5]APERC Norms'!$C$15</f>
        <v>2</v>
      </c>
      <c r="D21" s="1054">
        <f>C21</f>
        <v>2</v>
      </c>
      <c r="E21" s="1054">
        <f>D21</f>
        <v>2</v>
      </c>
      <c r="F21" s="1054">
        <f>E21</f>
        <v>2</v>
      </c>
      <c r="G21" s="1054">
        <f>F21</f>
        <v>2</v>
      </c>
      <c r="H21" s="1055">
        <f>G21</f>
        <v>2</v>
      </c>
    </row>
    <row r="22" spans="1:11" ht="13.7" customHeight="1">
      <c r="A22" s="188" t="s">
        <v>1181</v>
      </c>
      <c r="B22" s="1048" t="s">
        <v>1177</v>
      </c>
      <c r="C22" s="1070">
        <v>1</v>
      </c>
      <c r="D22" s="1054">
        <v>1</v>
      </c>
      <c r="E22" s="1054">
        <v>1</v>
      </c>
      <c r="F22" s="1054">
        <v>1</v>
      </c>
      <c r="G22" s="1054">
        <v>1</v>
      </c>
      <c r="H22" s="1055">
        <v>1</v>
      </c>
    </row>
    <row r="23" spans="1:11" ht="14.1" customHeight="1">
      <c r="A23" s="188" t="s">
        <v>1167</v>
      </c>
      <c r="B23" s="1048" t="s">
        <v>1177</v>
      </c>
      <c r="C23" s="1070">
        <f>'[5]APERC Norms'!$C$16</f>
        <v>2</v>
      </c>
      <c r="D23" s="1054">
        <f t="shared" ref="D23:D28" si="2">C23</f>
        <v>2</v>
      </c>
      <c r="E23" s="1054">
        <f t="shared" ref="E23:H27" si="3">D23</f>
        <v>2</v>
      </c>
      <c r="F23" s="1054">
        <f t="shared" si="3"/>
        <v>2</v>
      </c>
      <c r="G23" s="1054">
        <f t="shared" si="3"/>
        <v>2</v>
      </c>
      <c r="H23" s="1055">
        <f t="shared" si="3"/>
        <v>2</v>
      </c>
    </row>
    <row r="24" spans="1:11" ht="14.1" hidden="1" customHeight="1">
      <c r="A24" s="189" t="s">
        <v>10</v>
      </c>
      <c r="B24" s="1048" t="s">
        <v>1177</v>
      </c>
      <c r="C24" s="1071" t="s">
        <v>578</v>
      </c>
      <c r="D24" s="1054" t="str">
        <f t="shared" si="2"/>
        <v>Not applicable</v>
      </c>
      <c r="E24" s="1054" t="str">
        <f t="shared" si="3"/>
        <v>Not applicable</v>
      </c>
      <c r="F24" s="1054" t="str">
        <f t="shared" si="3"/>
        <v>Not applicable</v>
      </c>
      <c r="G24" s="1054" t="str">
        <f t="shared" si="3"/>
        <v>Not applicable</v>
      </c>
      <c r="H24" s="1055" t="str">
        <f t="shared" si="3"/>
        <v>Not applicable</v>
      </c>
      <c r="K24" s="260" t="e">
        <f>#REF!*1200/100</f>
        <v>#REF!</v>
      </c>
    </row>
    <row r="25" spans="1:11" ht="13.7" hidden="1" customHeight="1">
      <c r="A25" s="189" t="s">
        <v>11</v>
      </c>
      <c r="B25" s="1048" t="s">
        <v>1177</v>
      </c>
      <c r="C25" s="1071" t="s">
        <v>578</v>
      </c>
      <c r="D25" s="1054" t="str">
        <f t="shared" si="2"/>
        <v>Not applicable</v>
      </c>
      <c r="E25" s="1054" t="str">
        <f t="shared" si="3"/>
        <v>Not applicable</v>
      </c>
      <c r="F25" s="1054" t="str">
        <f t="shared" si="3"/>
        <v>Not applicable</v>
      </c>
      <c r="G25" s="1054" t="str">
        <f t="shared" si="3"/>
        <v>Not applicable</v>
      </c>
      <c r="H25" s="1055" t="str">
        <f t="shared" si="3"/>
        <v>Not applicable</v>
      </c>
      <c r="K25" s="260" t="e">
        <f>K24*20%</f>
        <v>#REF!</v>
      </c>
    </row>
    <row r="26" spans="1:11" ht="12" customHeight="1">
      <c r="A26" s="188" t="s">
        <v>1168</v>
      </c>
      <c r="B26" s="1048" t="s">
        <v>1177</v>
      </c>
      <c r="C26" s="1070">
        <f>'[5]APERC Norms'!$C$17</f>
        <v>1</v>
      </c>
      <c r="D26" s="1054">
        <f t="shared" si="2"/>
        <v>1</v>
      </c>
      <c r="E26" s="1054">
        <f t="shared" si="3"/>
        <v>1</v>
      </c>
      <c r="F26" s="1054">
        <f t="shared" si="3"/>
        <v>1</v>
      </c>
      <c r="G26" s="1054">
        <f t="shared" si="3"/>
        <v>1</v>
      </c>
      <c r="H26" s="1055">
        <f t="shared" si="3"/>
        <v>1</v>
      </c>
    </row>
    <row r="27" spans="1:11" ht="12" customHeight="1">
      <c r="A27" s="188" t="s">
        <v>1169</v>
      </c>
      <c r="B27" s="1048" t="s">
        <v>313</v>
      </c>
      <c r="C27" s="1059">
        <v>0.2</v>
      </c>
      <c r="D27" s="1057">
        <f t="shared" si="2"/>
        <v>0.2</v>
      </c>
      <c r="E27" s="1057">
        <f t="shared" si="3"/>
        <v>0.2</v>
      </c>
      <c r="F27" s="1057">
        <f t="shared" si="3"/>
        <v>0.2</v>
      </c>
      <c r="G27" s="1057">
        <f t="shared" si="3"/>
        <v>0.2</v>
      </c>
      <c r="H27" s="1058">
        <f t="shared" si="3"/>
        <v>0.2</v>
      </c>
    </row>
    <row r="28" spans="1:11" ht="12" customHeight="1">
      <c r="A28" s="188" t="s">
        <v>1170</v>
      </c>
      <c r="B28" s="1048" t="s">
        <v>1177</v>
      </c>
      <c r="C28" s="1070">
        <f>'[5]APERC Norms'!$C$19</f>
        <v>2</v>
      </c>
      <c r="D28" s="1054">
        <f t="shared" si="2"/>
        <v>2</v>
      </c>
      <c r="E28" s="1054">
        <f t="shared" ref="E28:H29" si="4">D28</f>
        <v>2</v>
      </c>
      <c r="F28" s="1054">
        <f t="shared" si="4"/>
        <v>2</v>
      </c>
      <c r="G28" s="1054">
        <f t="shared" si="4"/>
        <v>2</v>
      </c>
      <c r="H28" s="1055">
        <f t="shared" si="4"/>
        <v>2</v>
      </c>
    </row>
    <row r="29" spans="1:11" ht="38.450000000000003" customHeight="1">
      <c r="A29" s="188" t="s">
        <v>1171</v>
      </c>
      <c r="B29" s="1048" t="s">
        <v>313</v>
      </c>
      <c r="C29" s="1059" t="s">
        <v>1165</v>
      </c>
      <c r="D29" s="684">
        <f>8.55+1.5</f>
        <v>10.050000000000001</v>
      </c>
      <c r="E29" s="684">
        <f t="shared" si="4"/>
        <v>10.050000000000001</v>
      </c>
      <c r="F29" s="684">
        <f t="shared" si="4"/>
        <v>10.050000000000001</v>
      </c>
      <c r="G29" s="684">
        <f t="shared" si="4"/>
        <v>10.050000000000001</v>
      </c>
      <c r="H29" s="1060">
        <f t="shared" si="4"/>
        <v>10.050000000000001</v>
      </c>
    </row>
    <row r="30" spans="1:11" ht="34.9" customHeight="1">
      <c r="A30" s="1061" t="s">
        <v>12</v>
      </c>
      <c r="B30" s="1062" t="s">
        <v>1178</v>
      </c>
      <c r="C30" s="1072" t="s">
        <v>1172</v>
      </c>
      <c r="D30" s="1063" t="s">
        <v>1164</v>
      </c>
      <c r="E30" s="1063" t="s">
        <v>1164</v>
      </c>
      <c r="F30" s="1063" t="s">
        <v>1164</v>
      </c>
      <c r="G30" s="1063" t="s">
        <v>1164</v>
      </c>
      <c r="H30" s="1064" t="s">
        <v>1164</v>
      </c>
    </row>
    <row r="31" spans="1:11" ht="31.15" customHeight="1">
      <c r="A31" s="1067" t="s">
        <v>1180</v>
      </c>
      <c r="B31" s="684" t="s">
        <v>1179</v>
      </c>
      <c r="C31" s="1066" t="s">
        <v>1182</v>
      </c>
      <c r="D31" s="439">
        <v>15</v>
      </c>
      <c r="E31" s="439">
        <v>15</v>
      </c>
      <c r="F31" s="439">
        <v>15</v>
      </c>
      <c r="G31" s="439">
        <v>15</v>
      </c>
      <c r="H31" s="1047">
        <v>15</v>
      </c>
    </row>
    <row r="32" spans="1:11" ht="19.5" customHeight="1">
      <c r="A32" s="1065"/>
      <c r="B32" s="655"/>
      <c r="C32" s="655"/>
      <c r="D32" s="655"/>
      <c r="E32" s="655"/>
      <c r="H32" s="449"/>
    </row>
    <row r="33" spans="1:8" ht="19.5" customHeight="1">
      <c r="A33" s="654"/>
      <c r="B33" s="1033"/>
      <c r="C33" s="1033"/>
      <c r="D33" s="1033"/>
      <c r="E33" s="1033"/>
      <c r="F33" s="1033"/>
      <c r="G33" s="1033"/>
      <c r="H33" s="1034"/>
    </row>
    <row r="34" spans="1:8" ht="18.600000000000001" customHeight="1">
      <c r="A34" s="1542" t="s">
        <v>1173</v>
      </c>
      <c r="B34" s="1543"/>
      <c r="C34" s="1543"/>
      <c r="D34" s="1543"/>
      <c r="E34" s="1036"/>
      <c r="F34" s="1036"/>
      <c r="G34" s="1036"/>
      <c r="H34" s="1037"/>
    </row>
    <row r="35" spans="1:8" ht="26.25" customHeight="1">
      <c r="A35" s="1035"/>
      <c r="B35" s="644"/>
      <c r="C35" s="644"/>
      <c r="H35" s="449"/>
    </row>
    <row r="36" spans="1:8" ht="15">
      <c r="A36" s="643"/>
      <c r="H36" s="449"/>
    </row>
    <row r="37" spans="1:8">
      <c r="A37" s="448"/>
      <c r="H37" s="449"/>
    </row>
    <row r="38" spans="1:8" ht="14.25">
      <c r="A38" s="448"/>
      <c r="F38" s="1534" t="s">
        <v>822</v>
      </c>
      <c r="G38" s="1534"/>
      <c r="H38" s="449"/>
    </row>
    <row r="39" spans="1:8">
      <c r="A39" s="448"/>
      <c r="H39" s="449"/>
    </row>
    <row r="40" spans="1:8" ht="13.5" thickBot="1">
      <c r="A40" s="175"/>
      <c r="B40" s="176"/>
      <c r="C40" s="176"/>
      <c r="D40" s="176"/>
      <c r="E40" s="176"/>
      <c r="F40" s="176"/>
      <c r="G40" s="176"/>
      <c r="H40" s="177"/>
    </row>
  </sheetData>
  <mergeCells count="7">
    <mergeCell ref="A3:H3"/>
    <mergeCell ref="F38:G38"/>
    <mergeCell ref="A10:A12"/>
    <mergeCell ref="B10:B12"/>
    <mergeCell ref="C10:H10"/>
    <mergeCell ref="D11:H11"/>
    <mergeCell ref="A34:D34"/>
  </mergeCells>
  <pageMargins left="0.70866141732283472" right="0.70866141732283472" top="0.74803149606299213" bottom="0.74803149606299213" header="0.31496062992125984" footer="0.31496062992125984"/>
  <pageSetup paperSize="9" scale="74" orientation="landscape" horizontalDpi="4294967293" verticalDpi="4294967295" r:id="rId1"/>
  <drawing r:id="rId2"/>
</worksheet>
</file>

<file path=xl/worksheets/sheet8.xml><?xml version="1.0" encoding="utf-8"?>
<worksheet xmlns="http://schemas.openxmlformats.org/spreadsheetml/2006/main" xmlns:r="http://schemas.openxmlformats.org/officeDocument/2006/relationships">
  <sheetPr>
    <tabColor rgb="FF00B050"/>
    <pageSetUpPr fitToPage="1"/>
  </sheetPr>
  <dimension ref="A1:B26"/>
  <sheetViews>
    <sheetView topLeftCell="A4" workbookViewId="0">
      <selection activeCell="A22" sqref="A22"/>
    </sheetView>
  </sheetViews>
  <sheetFormatPr defaultRowHeight="12.75"/>
  <cols>
    <col min="1" max="1" width="47.5" customWidth="1"/>
    <col min="2" max="2" width="44.5" customWidth="1"/>
  </cols>
  <sheetData>
    <row r="1" spans="1:2" ht="15.75">
      <c r="A1" s="542"/>
      <c r="B1" s="543" t="s">
        <v>904</v>
      </c>
    </row>
    <row r="2" spans="1:2" ht="15.75">
      <c r="A2" s="521"/>
      <c r="B2" s="544" t="s">
        <v>907</v>
      </c>
    </row>
    <row r="3" spans="1:2" ht="15.75">
      <c r="A3" s="521"/>
      <c r="B3" s="544"/>
    </row>
    <row r="4" spans="1:2" ht="27" customHeight="1">
      <c r="A4" s="1544" t="s">
        <v>905</v>
      </c>
      <c r="B4" s="1545"/>
    </row>
    <row r="5" spans="1:2" ht="27" customHeight="1">
      <c r="A5" s="521"/>
      <c r="B5" s="522"/>
    </row>
    <row r="6" spans="1:2" ht="31.5">
      <c r="A6" s="743" t="str">
        <f>form5A!A9</f>
        <v>Name of the Company :</v>
      </c>
      <c r="B6" s="744" t="str">
        <f>form5A!B9</f>
        <v>The Singareni Collieries Company Limited</v>
      </c>
    </row>
    <row r="7" spans="1:2" ht="7.15" customHeight="1">
      <c r="A7" s="745"/>
      <c r="B7" s="746"/>
    </row>
    <row r="8" spans="1:2" ht="29.25" customHeight="1">
      <c r="A8" s="743" t="str">
        <f>form5A!A11</f>
        <v>Name of the Power Station :</v>
      </c>
      <c r="B8" s="744" t="str">
        <f>form5A!B11</f>
        <v>Singareni Thermal Power Project</v>
      </c>
    </row>
    <row r="9" spans="1:2">
      <c r="A9" s="521"/>
      <c r="B9" s="522"/>
    </row>
    <row r="10" spans="1:2">
      <c r="A10" s="521"/>
      <c r="B10" s="522"/>
    </row>
    <row r="11" spans="1:2" ht="15" customHeight="1">
      <c r="A11" s="545" t="s">
        <v>906</v>
      </c>
      <c r="B11" s="173"/>
    </row>
    <row r="12" spans="1:2" ht="12.6" customHeight="1">
      <c r="A12" s="172"/>
      <c r="B12" s="173"/>
    </row>
    <row r="13" spans="1:2" ht="19.149999999999999" customHeight="1">
      <c r="A13" s="545" t="s">
        <v>909</v>
      </c>
      <c r="B13" s="550">
        <f>'App-IV input Capital cost'!E12</f>
        <v>6705.71</v>
      </c>
    </row>
    <row r="14" spans="1:2" ht="30.6" customHeight="1">
      <c r="A14" s="546" t="s">
        <v>908</v>
      </c>
      <c r="B14" s="295" t="s">
        <v>910</v>
      </c>
    </row>
    <row r="15" spans="1:2" ht="11.45" customHeight="1">
      <c r="A15" s="172"/>
      <c r="B15" s="295"/>
    </row>
    <row r="16" spans="1:2" ht="24.75" customHeight="1">
      <c r="A16" s="547" t="s">
        <v>13</v>
      </c>
      <c r="B16" s="295">
        <v>0</v>
      </c>
    </row>
    <row r="17" spans="1:2" ht="11.85" customHeight="1">
      <c r="A17" s="172"/>
      <c r="B17" s="295"/>
    </row>
    <row r="18" spans="1:2" ht="15" customHeight="1">
      <c r="A18" s="547" t="s">
        <v>14</v>
      </c>
      <c r="B18" s="550">
        <f>B13-B16</f>
        <v>6705.71</v>
      </c>
    </row>
    <row r="19" spans="1:2" ht="12.6" customHeight="1">
      <c r="A19" s="172"/>
      <c r="B19" s="295"/>
    </row>
    <row r="20" spans="1:2" ht="24.75" customHeight="1">
      <c r="A20" s="547" t="s">
        <v>15</v>
      </c>
      <c r="B20" s="295">
        <v>0</v>
      </c>
    </row>
    <row r="21" spans="1:2" ht="11.45" customHeight="1">
      <c r="A21" s="172"/>
      <c r="B21" s="295"/>
    </row>
    <row r="22" spans="1:2" ht="27.6" customHeight="1">
      <c r="A22" s="545" t="s">
        <v>911</v>
      </c>
      <c r="B22" s="550">
        <f>'App-IV input Capital cost'!G16</f>
        <v>7575.25</v>
      </c>
    </row>
    <row r="23" spans="1:2" ht="12.6" customHeight="1">
      <c r="A23" s="548"/>
      <c r="B23" s="174"/>
    </row>
    <row r="24" spans="1:2" ht="12.6" customHeight="1">
      <c r="A24" s="548"/>
      <c r="B24" s="174"/>
    </row>
    <row r="25" spans="1:2" ht="12.6" customHeight="1">
      <c r="A25" s="548"/>
      <c r="B25" s="174"/>
    </row>
    <row r="26" spans="1:2" ht="37.700000000000003" customHeight="1" thickBot="1">
      <c r="A26" s="549"/>
      <c r="B26" s="736" t="s">
        <v>16</v>
      </c>
    </row>
  </sheetData>
  <mergeCells count="1">
    <mergeCell ref="A4:B4"/>
  </mergeCells>
  <pageMargins left="0.70866141732283472" right="0.70866141732283472" top="0.74803149606299213" bottom="0.74803149606299213" header="0.31496062992125984" footer="0.31496062992125984"/>
  <pageSetup orientation="portrait" r:id="rId1"/>
</worksheet>
</file>

<file path=xl/worksheets/sheet9.xml><?xml version="1.0" encoding="utf-8"?>
<worksheet xmlns="http://schemas.openxmlformats.org/spreadsheetml/2006/main" xmlns:r="http://schemas.openxmlformats.org/officeDocument/2006/relationships">
  <sheetPr>
    <pageSetUpPr fitToPage="1"/>
  </sheetPr>
  <dimension ref="A1:K50"/>
  <sheetViews>
    <sheetView topLeftCell="A7" workbookViewId="0">
      <selection activeCell="D18" sqref="D18"/>
    </sheetView>
  </sheetViews>
  <sheetFormatPr defaultColWidth="9.33203125" defaultRowHeight="15.75"/>
  <cols>
    <col min="1" max="1" width="60.83203125" style="939" customWidth="1"/>
    <col min="2" max="2" width="41.83203125" style="939" customWidth="1"/>
    <col min="3" max="3" width="43.33203125" style="939" customWidth="1"/>
    <col min="4" max="4" width="28.1640625" style="939" customWidth="1"/>
    <col min="5" max="5" width="15" style="939" customWidth="1"/>
    <col min="6" max="16384" width="9.33203125" style="939"/>
  </cols>
  <sheetData>
    <row r="1" spans="1:11" ht="18.75">
      <c r="A1" s="1007"/>
      <c r="B1" s="1008"/>
      <c r="C1" s="536" t="s">
        <v>894</v>
      </c>
    </row>
    <row r="2" spans="1:11" ht="18.75">
      <c r="A2" s="977"/>
      <c r="C2" s="534" t="s">
        <v>895</v>
      </c>
    </row>
    <row r="3" spans="1:11">
      <c r="A3" s="977"/>
      <c r="C3" s="949"/>
    </row>
    <row r="4" spans="1:11">
      <c r="A4" s="977"/>
      <c r="C4" s="949"/>
    </row>
    <row r="5" spans="1:11" s="781" customFormat="1" ht="18.75">
      <c r="A5" s="1550" t="s">
        <v>897</v>
      </c>
      <c r="B5" s="1551"/>
      <c r="C5" s="1552"/>
    </row>
    <row r="6" spans="1:11" s="781" customFormat="1" ht="18.75">
      <c r="A6" s="1009"/>
      <c r="B6" s="231"/>
      <c r="C6" s="534"/>
    </row>
    <row r="7" spans="1:11" s="781" customFormat="1" ht="18.75">
      <c r="A7" s="1009"/>
      <c r="B7" s="231"/>
      <c r="C7" s="534"/>
    </row>
    <row r="8" spans="1:11" s="781" customFormat="1" ht="18.75">
      <c r="A8" s="1009"/>
      <c r="B8" s="231"/>
      <c r="C8" s="534"/>
    </row>
    <row r="9" spans="1:11" ht="18.75">
      <c r="A9" s="994" t="s">
        <v>1031</v>
      </c>
      <c r="B9" s="1551" t="s">
        <v>464</v>
      </c>
      <c r="C9" s="1552"/>
    </row>
    <row r="10" spans="1:11" ht="8.4499999999999993" customHeight="1">
      <c r="A10" s="1010"/>
      <c r="B10" s="937"/>
      <c r="C10" s="1011"/>
    </row>
    <row r="11" spans="1:11" ht="18.75">
      <c r="A11" s="1010" t="s">
        <v>1032</v>
      </c>
      <c r="B11" s="1551" t="s">
        <v>461</v>
      </c>
      <c r="C11" s="1552"/>
      <c r="G11" s="1012"/>
      <c r="H11" s="1013"/>
    </row>
    <row r="12" spans="1:11" s="781" customFormat="1">
      <c r="A12" s="979"/>
      <c r="B12" s="533"/>
      <c r="C12" s="1014"/>
      <c r="D12" s="1015"/>
      <c r="E12" s="1015"/>
      <c r="F12" s="1015"/>
      <c r="G12" s="1015"/>
      <c r="H12" s="1015"/>
      <c r="I12" s="1015"/>
      <c r="J12" s="1015"/>
      <c r="K12" s="1015"/>
    </row>
    <row r="13" spans="1:11" s="781" customFormat="1">
      <c r="A13" s="979"/>
      <c r="B13" s="533"/>
      <c r="C13" s="1014"/>
      <c r="D13" s="1015"/>
      <c r="E13" s="1015"/>
      <c r="F13" s="1015"/>
      <c r="G13" s="1015"/>
      <c r="H13" s="1015"/>
      <c r="I13" s="1015"/>
      <c r="J13" s="1015"/>
      <c r="K13" s="1015"/>
    </row>
    <row r="14" spans="1:11" ht="31.5" customHeight="1">
      <c r="A14" s="803" t="s">
        <v>620</v>
      </c>
      <c r="C14" s="949"/>
      <c r="D14" s="1012"/>
      <c r="F14" s="1012"/>
      <c r="G14" s="1012"/>
      <c r="H14" s="1012"/>
      <c r="I14" s="1012"/>
      <c r="J14" s="1012"/>
      <c r="K14" s="1012"/>
    </row>
    <row r="15" spans="1:11" ht="37.5">
      <c r="A15" s="763" t="s">
        <v>997</v>
      </c>
      <c r="B15" s="1553" t="s">
        <v>1065</v>
      </c>
      <c r="C15" s="1547"/>
      <c r="E15" s="939" t="s">
        <v>896</v>
      </c>
      <c r="G15" s="1012"/>
      <c r="H15" s="1012"/>
      <c r="I15" s="1012"/>
      <c r="J15" s="1012"/>
      <c r="K15" s="1012"/>
    </row>
    <row r="16" spans="1:11" ht="39.75" customHeight="1">
      <c r="A16" s="758" t="s">
        <v>697</v>
      </c>
      <c r="B16" s="1548" t="s">
        <v>889</v>
      </c>
      <c r="C16" s="1549"/>
      <c r="G16" s="1012"/>
      <c r="H16" s="1012"/>
      <c r="I16" s="1012"/>
      <c r="J16" s="1012"/>
      <c r="K16" s="1012"/>
    </row>
    <row r="17" spans="1:11" ht="18.75">
      <c r="A17" s="1016"/>
      <c r="B17" s="537" t="s">
        <v>622</v>
      </c>
      <c r="C17" s="587" t="s">
        <v>696</v>
      </c>
      <c r="G17" s="1012"/>
      <c r="H17" s="1012"/>
      <c r="I17" s="1012"/>
      <c r="J17" s="1012"/>
      <c r="K17" s="1012"/>
    </row>
    <row r="18" spans="1:11" ht="46.5" customHeight="1">
      <c r="A18" s="1558" t="s">
        <v>703</v>
      </c>
      <c r="B18" s="541" t="s">
        <v>887</v>
      </c>
      <c r="C18" s="804" t="s">
        <v>888</v>
      </c>
      <c r="D18" s="1015"/>
      <c r="E18" s="1015"/>
      <c r="F18" s="1015"/>
      <c r="G18" s="1015"/>
      <c r="H18" s="1015"/>
      <c r="I18" s="781"/>
    </row>
    <row r="19" spans="1:11">
      <c r="A19" s="1559"/>
      <c r="B19" s="941"/>
      <c r="C19" s="946"/>
    </row>
    <row r="20" spans="1:11" ht="56.25">
      <c r="A20" s="758" t="s">
        <v>704</v>
      </c>
      <c r="B20" s="559" t="s">
        <v>352</v>
      </c>
      <c r="C20" s="560" t="s">
        <v>352</v>
      </c>
      <c r="D20" s="1012"/>
      <c r="E20" s="1012"/>
      <c r="F20" s="1012"/>
      <c r="G20" s="1012"/>
      <c r="H20" s="1012"/>
      <c r="I20" s="1012"/>
      <c r="J20" s="1012"/>
      <c r="K20" s="1012"/>
    </row>
    <row r="21" spans="1:11" ht="18.75">
      <c r="A21" s="1017"/>
      <c r="B21" s="559"/>
      <c r="C21" s="560"/>
    </row>
    <row r="22" spans="1:11" ht="33.75" customHeight="1">
      <c r="A22" s="747" t="s">
        <v>621</v>
      </c>
      <c r="B22" s="761"/>
      <c r="C22" s="762"/>
    </row>
    <row r="23" spans="1:11" ht="93.75">
      <c r="A23" s="758" t="s">
        <v>705</v>
      </c>
      <c r="B23" s="779">
        <v>0</v>
      </c>
      <c r="C23" s="780">
        <v>0</v>
      </c>
    </row>
    <row r="24" spans="1:11" ht="18.75">
      <c r="A24" s="759" t="s">
        <v>624</v>
      </c>
      <c r="B24" s="779">
        <f>B25</f>
        <v>7065.2300000000005</v>
      </c>
      <c r="C24" s="780">
        <f>C25</f>
        <v>6620.3399999999992</v>
      </c>
    </row>
    <row r="25" spans="1:11" ht="37.5">
      <c r="A25" s="760" t="s">
        <v>702</v>
      </c>
      <c r="B25" s="779">
        <f>'Form 5B '!I65-'Form 5B '!I62</f>
        <v>7065.2300000000005</v>
      </c>
      <c r="C25" s="780">
        <f>'Form 5B '!E65-'Form 5B '!E62</f>
        <v>6620.3399999999992</v>
      </c>
    </row>
    <row r="26" spans="1:11" ht="18.75">
      <c r="A26" s="759"/>
      <c r="B26" s="559"/>
      <c r="C26" s="560"/>
    </row>
    <row r="27" spans="1:11" ht="18.75">
      <c r="A27" s="747" t="s">
        <v>625</v>
      </c>
      <c r="B27" s="559"/>
      <c r="C27" s="560"/>
    </row>
    <row r="28" spans="1:11" ht="37.5">
      <c r="A28" s="758" t="s">
        <v>701</v>
      </c>
      <c r="B28" s="559">
        <v>0</v>
      </c>
      <c r="C28" s="560">
        <v>0</v>
      </c>
    </row>
    <row r="29" spans="1:11" ht="18.75">
      <c r="A29" s="759" t="s">
        <v>624</v>
      </c>
      <c r="B29" s="559">
        <f>'Form 5B '!I62</f>
        <v>1302.53</v>
      </c>
      <c r="C29" s="805">
        <f>'Form 5B '!E62</f>
        <v>1264.3399999999999</v>
      </c>
    </row>
    <row r="30" spans="1:11" ht="34.9" customHeight="1">
      <c r="A30" s="747" t="s">
        <v>626</v>
      </c>
      <c r="B30" s="583">
        <f>'Form 5B '!I62</f>
        <v>1302.53</v>
      </c>
      <c r="C30" s="805">
        <f>'Form 5B '!E62</f>
        <v>1264.3399999999999</v>
      </c>
    </row>
    <row r="31" spans="1:11" ht="93.75">
      <c r="A31" s="758" t="s">
        <v>706</v>
      </c>
      <c r="B31" s="541" t="s">
        <v>694</v>
      </c>
      <c r="C31" s="804" t="s">
        <v>695</v>
      </c>
    </row>
    <row r="32" spans="1:11" ht="18.75">
      <c r="A32" s="759"/>
      <c r="B32" s="559"/>
      <c r="C32" s="560"/>
    </row>
    <row r="33" spans="1:3" ht="18.75">
      <c r="A33" s="747" t="s">
        <v>698</v>
      </c>
      <c r="B33" s="1553"/>
      <c r="C33" s="1547"/>
    </row>
    <row r="34" spans="1:3" ht="37.5">
      <c r="A34" s="758" t="s">
        <v>699</v>
      </c>
      <c r="B34" s="1556">
        <v>0</v>
      </c>
      <c r="C34" s="1557"/>
    </row>
    <row r="35" spans="1:3" ht="18.75">
      <c r="A35" s="759" t="s">
        <v>700</v>
      </c>
      <c r="B35" s="1554">
        <f>B36</f>
        <v>8367.76</v>
      </c>
      <c r="C35" s="1555"/>
    </row>
    <row r="36" spans="1:3" ht="37.5">
      <c r="A36" s="758" t="s">
        <v>903</v>
      </c>
      <c r="B36" s="1554">
        <f>'Form 5B '!I65</f>
        <v>8367.76</v>
      </c>
      <c r="C36" s="1555"/>
    </row>
    <row r="37" spans="1:3" ht="18.75">
      <c r="A37" s="760" t="s">
        <v>991</v>
      </c>
      <c r="B37" s="1553"/>
      <c r="C37" s="1547"/>
    </row>
    <row r="38" spans="1:3" ht="18.75">
      <c r="A38" s="758" t="s">
        <v>901</v>
      </c>
      <c r="B38" s="1546">
        <v>42638</v>
      </c>
      <c r="C38" s="1547"/>
    </row>
    <row r="39" spans="1:3" ht="18.75">
      <c r="A39" s="758" t="s">
        <v>902</v>
      </c>
      <c r="B39" s="1546">
        <v>42706</v>
      </c>
      <c r="C39" s="1547"/>
    </row>
    <row r="40" spans="1:3">
      <c r="A40" s="1018"/>
      <c r="C40" s="949"/>
    </row>
    <row r="41" spans="1:3">
      <c r="A41" s="1018"/>
      <c r="C41" s="949"/>
    </row>
    <row r="42" spans="1:3">
      <c r="A42" s="977"/>
      <c r="C42" s="949"/>
    </row>
    <row r="43" spans="1:3">
      <c r="A43" s="977" t="s">
        <v>890</v>
      </c>
      <c r="C43" s="949"/>
    </row>
    <row r="44" spans="1:3">
      <c r="A44" s="977" t="s">
        <v>891</v>
      </c>
      <c r="C44" s="949"/>
    </row>
    <row r="45" spans="1:3">
      <c r="A45" s="977" t="s">
        <v>892</v>
      </c>
      <c r="C45" s="949"/>
    </row>
    <row r="46" spans="1:3">
      <c r="A46" s="977" t="s">
        <v>893</v>
      </c>
      <c r="C46" s="949"/>
    </row>
    <row r="47" spans="1:3">
      <c r="A47" s="977"/>
      <c r="C47" s="949"/>
    </row>
    <row r="48" spans="1:3">
      <c r="A48" s="977"/>
      <c r="C48" s="949"/>
    </row>
    <row r="49" spans="1:3" ht="20.25">
      <c r="A49" s="977"/>
      <c r="C49" s="1019" t="s">
        <v>822</v>
      </c>
    </row>
    <row r="50" spans="1:3" ht="16.5" thickBot="1">
      <c r="A50" s="1020"/>
      <c r="B50" s="950"/>
      <c r="C50" s="951"/>
    </row>
  </sheetData>
  <mergeCells count="13">
    <mergeCell ref="B39:C39"/>
    <mergeCell ref="B16:C16"/>
    <mergeCell ref="A5:C5"/>
    <mergeCell ref="B37:C37"/>
    <mergeCell ref="B38:C38"/>
    <mergeCell ref="B33:C33"/>
    <mergeCell ref="B35:C35"/>
    <mergeCell ref="B36:C36"/>
    <mergeCell ref="B34:C34"/>
    <mergeCell ref="A18:A19"/>
    <mergeCell ref="B9:C9"/>
    <mergeCell ref="B11:C11"/>
    <mergeCell ref="B15:C15"/>
  </mergeCells>
  <pageMargins left="0.70866141732283472" right="0.70866141732283472" top="0.74803149606299213" bottom="0.74803149606299213" header="0.31496062992125984" footer="0.31496062992125984"/>
  <pageSetup paperSize="9" scale="56"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43</vt:i4>
      </vt:variant>
      <vt:variant>
        <vt:lpstr>Named Ranges</vt:lpstr>
      </vt:variant>
      <vt:variant>
        <vt:i4>29</vt:i4>
      </vt:variant>
    </vt:vector>
  </HeadingPairs>
  <TitlesOfParts>
    <vt:vector size="72" baseType="lpstr">
      <vt:lpstr>Title</vt:lpstr>
      <vt:lpstr>ARR</vt:lpstr>
      <vt:lpstr>escalation</vt:lpstr>
      <vt:lpstr>Index </vt:lpstr>
      <vt:lpstr>Form 1</vt:lpstr>
      <vt:lpstr>Form 2</vt:lpstr>
      <vt:lpstr>Form 3</vt:lpstr>
      <vt:lpstr>Form 5</vt:lpstr>
      <vt:lpstr>form5A</vt:lpstr>
      <vt:lpstr>Form 5B </vt:lpstr>
      <vt:lpstr>5B for text</vt:lpstr>
      <vt:lpstr>Form 6</vt:lpstr>
      <vt:lpstr>Form 7 </vt:lpstr>
      <vt:lpstr>Form 9 add cap</vt:lpstr>
      <vt:lpstr>Form-11</vt:lpstr>
      <vt:lpstr>Form 5B</vt:lpstr>
      <vt:lpstr>Table 9</vt:lpstr>
      <vt:lpstr>Form 5D</vt:lpstr>
      <vt:lpstr>Table 13</vt:lpstr>
      <vt:lpstr>Depr</vt:lpstr>
      <vt:lpstr>Form 12</vt:lpstr>
      <vt:lpstr>Form 13</vt:lpstr>
      <vt:lpstr>Form 13A</vt:lpstr>
      <vt:lpstr>Form13B</vt:lpstr>
      <vt:lpstr>Form 14</vt:lpstr>
      <vt:lpstr>Form 16-O&amp;M</vt:lpstr>
      <vt:lpstr>Form 18 LDO (2)</vt:lpstr>
      <vt:lpstr>Form 18 HFO (2)</vt:lpstr>
      <vt:lpstr>Form 18 Coal (2)</vt:lpstr>
      <vt:lpstr>Energy Charges</vt:lpstr>
      <vt:lpstr>Form15 Coal </vt:lpstr>
      <vt:lpstr>Form15 OIL</vt:lpstr>
      <vt:lpstr>form5D</vt:lpstr>
      <vt:lpstr>13A sub</vt:lpstr>
      <vt:lpstr>CC_T14_old</vt:lpstr>
      <vt:lpstr>FUEL COST</vt:lpstr>
      <vt:lpstr>Incentive</vt:lpstr>
      <vt:lpstr>FGD and Nox</vt:lpstr>
      <vt:lpstr>loan restructuring</vt:lpstr>
      <vt:lpstr>App III -liability </vt:lpstr>
      <vt:lpstr>App-IV input Capital cost</vt:lpstr>
      <vt:lpstr>TSERC allowance</vt:lpstr>
      <vt:lpstr>Form 5B  (2)</vt:lpstr>
      <vt:lpstr>'Form 12'!_Hlk1989129</vt:lpstr>
      <vt:lpstr>CC_T14_old!_Ref441831867</vt:lpstr>
      <vt:lpstr>'Form 2'!_Toc442179767</vt:lpstr>
      <vt:lpstr>'5B for text'!_Toc442179769</vt:lpstr>
      <vt:lpstr>'App III -liability '!_Toc442179769</vt:lpstr>
      <vt:lpstr>'Form 12'!_Toc442179769</vt:lpstr>
      <vt:lpstr>'Form 5B '!_Toc442179769</vt:lpstr>
      <vt:lpstr>'Form 5B  (2)'!_Toc442179769</vt:lpstr>
      <vt:lpstr>'TSERC allowance'!_Toc442179769</vt:lpstr>
      <vt:lpstr>'5B for text'!Print_Area</vt:lpstr>
      <vt:lpstr>'App III -liability '!Print_Area</vt:lpstr>
      <vt:lpstr>'App-IV input Capital cost'!Print_Area</vt:lpstr>
      <vt:lpstr>'Energy Charges'!Print_Area</vt:lpstr>
      <vt:lpstr>'Form 1'!Print_Area</vt:lpstr>
      <vt:lpstr>'Form 12'!Print_Area</vt:lpstr>
      <vt:lpstr>'Form 13'!Print_Area</vt:lpstr>
      <vt:lpstr>'Form 14'!Print_Area</vt:lpstr>
      <vt:lpstr>'Form 3'!Print_Area</vt:lpstr>
      <vt:lpstr>'Form 5'!Print_Area</vt:lpstr>
      <vt:lpstr>'Form 5B '!Print_Area</vt:lpstr>
      <vt:lpstr>'Form 5B  (2)'!Print_Area</vt:lpstr>
      <vt:lpstr>'Form 7 '!Print_Area</vt:lpstr>
      <vt:lpstr>Form13B!Print_Area</vt:lpstr>
      <vt:lpstr>'Form15 Coal '!Print_Area</vt:lpstr>
      <vt:lpstr>'Form15 OIL'!Print_Area</vt:lpstr>
      <vt:lpstr>form5A!Print_Area</vt:lpstr>
      <vt:lpstr>'loan restructuring'!Print_Area</vt:lpstr>
      <vt:lpstr>Title!Print_Area</vt:lpstr>
      <vt:lpstr>'TSERC allowance'!Print_Area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stpp-om2</dc:creator>
  <cp:lastModifiedBy>SCCL</cp:lastModifiedBy>
  <cp:lastPrinted>2019-02-11T10:16:46Z</cp:lastPrinted>
  <dcterms:created xsi:type="dcterms:W3CDTF">2018-04-16T05:05:25Z</dcterms:created>
  <dcterms:modified xsi:type="dcterms:W3CDTF">2020-03-03T11:07:31Z</dcterms:modified>
</cp:coreProperties>
</file>